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120" windowHeight="8145" firstSheet="5" activeTab="11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enRev" sheetId="5" r:id="rId5"/>
    <sheet name="GenExp" sheetId="6" r:id="rId6"/>
    <sheet name="Gov Fd Rv" sheetId="7" r:id="rId7"/>
    <sheet name="Gov Fnd Exp" sheetId="8" r:id="rId8"/>
    <sheet name="Water 1" sheetId="9" r:id="rId9"/>
    <sheet name="Sewer" sheetId="10" r:id="rId10"/>
    <sheet name="Landfill" sheetId="11" r:id="rId11"/>
    <sheet name="LT _Lia - GA" sheetId="12" r:id="rId12"/>
    <sheet name="K" sheetId="13" r:id="rId13"/>
    <sheet name="L" sheetId="14" r:id="rId14"/>
  </sheets>
  <definedNames>
    <definedName name="_xlnm.Print_Area" localSheetId="3">'Gen Fd BS'!$A$1:$O$100</definedName>
    <definedName name="_xlnm.Print_Area" localSheetId="5">'GenExp'!$A$1:$AC$101</definedName>
    <definedName name="_xlnm.Print_Area" localSheetId="4">'GenRev'!$A$1:$Q$133</definedName>
    <definedName name="_xlnm.Print_Area" localSheetId="6">'Gov Fd Rv'!$A$1:$Q$132</definedName>
    <definedName name="_xlnm.Print_Area" localSheetId="7">'Gov Fnd Exp'!$A$1:$AC$101</definedName>
    <definedName name="_xlnm.Print_Area" localSheetId="10">'Landfill'!$A$1:$BG$99</definedName>
    <definedName name="_xlnm.Print_Area" localSheetId="11">'LT _Lia - GA'!$A$1:$Q$101</definedName>
    <definedName name="_xlnm.Print_Area" localSheetId="9">'Sewer'!$A$1:$BK$96</definedName>
    <definedName name="_xlnm.Print_Area" localSheetId="2">'St of Activities - GA Exp'!$A$1:$AA$98</definedName>
    <definedName name="_xlnm.Print_Area" localSheetId="1">'St of Activities - GA Rev'!$A$1:$X$102</definedName>
    <definedName name="_xlnm.Print_Area" localSheetId="0">'St of Net Assets - GA'!$A$1:$W$100</definedName>
    <definedName name="_xlnm.Print_Area" localSheetId="8">'Water 1'!$A$1:$BI$95</definedName>
    <definedName name="_xlnm.Print_Titles" localSheetId="3">'Gen Fd BS'!$1:$8</definedName>
    <definedName name="_xlnm.Print_Titles" localSheetId="5">'GenExp'!$1:$8</definedName>
    <definedName name="_xlnm.Print_Titles" localSheetId="4">'GenRev'!$1:$8</definedName>
    <definedName name="_xlnm.Print_Titles" localSheetId="6">'Gov Fd Rv'!$1:$8</definedName>
    <definedName name="_xlnm.Print_Titles" localSheetId="7">'Gov Fnd Exp'!$1:$8</definedName>
    <definedName name="_xlnm.Print_Titles" localSheetId="11">'LT _Lia - GA'!$1:$9</definedName>
    <definedName name="_xlnm.Print_Titles" localSheetId="9">'Sewer'!$1:$10</definedName>
    <definedName name="_xlnm.Print_Titles" localSheetId="0">'St of Net Assets - GA'!$1:$9</definedName>
    <definedName name="_xlnm.Print_Titles" localSheetId="8">'Water 1'!$1:$11</definedName>
  </definedNames>
  <calcPr fullCalcOnLoad="1"/>
</workbook>
</file>

<file path=xl/sharedStrings.xml><?xml version="1.0" encoding="utf-8"?>
<sst xmlns="http://schemas.openxmlformats.org/spreadsheetml/2006/main" count="6188" uniqueCount="263">
  <si>
    <t>Charges for</t>
  </si>
  <si>
    <t>Inter-</t>
  </si>
  <si>
    <t>Special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</si>
  <si>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</si>
  <si>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</si>
  <si>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</si>
  <si>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</si>
  <si>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</si>
  <si>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</si>
  <si>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</si>
  <si>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</si>
  <si>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</si>
  <si>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Adams (cash)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</si>
  <si>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</si>
  <si>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</si>
  <si>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</si>
  <si>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</si>
  <si>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</si>
  <si>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</si>
  <si>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</si>
  <si>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</si>
  <si>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</si>
  <si>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n/a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</si>
  <si>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</si>
  <si>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</si>
  <si>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</si>
  <si>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</si>
  <si>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</si>
  <si>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</si>
  <si>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</si>
  <si>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</si>
  <si>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</si>
  <si>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</si>
  <si>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</si>
  <si>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</si>
  <si>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</si>
  <si>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</si>
  <si>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</si>
  <si>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</si>
  <si>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</si>
  <si>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</si>
  <si>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</si>
  <si>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</si>
  <si>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</si>
  <si>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</si>
  <si>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</si>
  <si>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</si>
  <si>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</si>
  <si>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</si>
  <si>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</si>
  <si>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</si>
  <si>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</si>
  <si>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</si>
  <si>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</si>
  <si>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</si>
  <si>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</si>
  <si>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</si>
  <si>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</si>
  <si>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</si>
  <si>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</si>
  <si>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</si>
  <si>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</si>
  <si>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Morrow*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</si>
  <si>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</si>
  <si>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</si>
  <si>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</si>
  <si>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</si>
  <si>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</si>
  <si>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</si>
  <si>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</si>
  <si>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</si>
  <si>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</si>
  <si>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Sandusky*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</si>
  <si>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</si>
  <si>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</si>
  <si>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</si>
  <si>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</si>
  <si>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</si>
  <si>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</si>
  <si>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</si>
  <si>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</si>
  <si>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</si>
  <si>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</si>
  <si>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</si>
  <si>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</si>
  <si>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</si>
  <si>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</si>
  <si>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</si>
  <si>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</si>
  <si>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</si>
  <si>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</si>
  <si>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</si>
  <si>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</si>
  <si>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</si>
  <si>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</si>
  <si>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</si>
  <si>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</si>
  <si>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</si>
  <si>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</si>
  <si>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</si>
  <si>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</si>
  <si>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</si>
  <si>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Interest and</t>
  </si>
  <si>
    <t>Operating</t>
  </si>
  <si>
    <t>Long-Term Obligations</t>
  </si>
  <si>
    <t>General</t>
  </si>
  <si>
    <t>Mortgage and</t>
  </si>
  <si>
    <t>Other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</si>
  <si>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</si>
  <si>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</si>
  <si>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</si>
  <si>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</si>
  <si>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</si>
  <si>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</si>
  <si>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</si>
  <si>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</si>
  <si>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</si>
  <si>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</si>
  <si>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Equity</t>
  </si>
  <si>
    <t>Reserved</t>
  </si>
  <si>
    <t>Cash and</t>
  </si>
  <si>
    <t>Deferred</t>
  </si>
  <si>
    <t>Fund</t>
  </si>
  <si>
    <t>Investments</t>
  </si>
  <si>
    <t>Liabilities</t>
  </si>
  <si>
    <t>Fund Balance</t>
  </si>
  <si>
    <t>Compensated</t>
  </si>
  <si>
    <t>Notes</t>
  </si>
  <si>
    <t>Assessment</t>
  </si>
  <si>
    <t>Leases</t>
  </si>
  <si>
    <t>Absences</t>
  </si>
  <si>
    <t>Payables</t>
  </si>
  <si>
    <t>Payable</t>
  </si>
  <si>
    <t>GLTD</t>
  </si>
  <si>
    <t>Paulding (cash)</t>
  </si>
  <si>
    <t xml:space="preserve">Brown </t>
  </si>
  <si>
    <t>Clermont (GASB 34)</t>
  </si>
  <si>
    <t>Greene (GASB 34)</t>
  </si>
  <si>
    <t>Richland (GASB 34)</t>
  </si>
  <si>
    <t>Lucas (GASB 34)</t>
  </si>
  <si>
    <t>Current</t>
  </si>
  <si>
    <t>Wayne (GASB 34)</t>
  </si>
  <si>
    <t>Net Assets</t>
  </si>
  <si>
    <t>Long-term</t>
  </si>
  <si>
    <t>Invested in</t>
  </si>
  <si>
    <t>Charges</t>
  </si>
  <si>
    <t>Restricted</t>
  </si>
  <si>
    <t>Unrestricted</t>
  </si>
  <si>
    <t>Program Revenues - Governmental Activities</t>
  </si>
  <si>
    <t>Property</t>
  </si>
  <si>
    <t>Investment</t>
  </si>
  <si>
    <t>Changes in</t>
  </si>
  <si>
    <t>Grants</t>
  </si>
  <si>
    <t>Earnings</t>
  </si>
  <si>
    <t>For the Year Ended December 31, 2002</t>
  </si>
  <si>
    <t>Property,</t>
  </si>
  <si>
    <t>Non-Current</t>
  </si>
  <si>
    <t>Expenses Less</t>
  </si>
  <si>
    <t>Non-Operating</t>
  </si>
  <si>
    <t>Contributions</t>
  </si>
  <si>
    <t xml:space="preserve">Other </t>
  </si>
  <si>
    <t>Community</t>
  </si>
  <si>
    <t>Development</t>
  </si>
  <si>
    <t>N/A</t>
  </si>
  <si>
    <t>Sales</t>
  </si>
  <si>
    <t>NA</t>
  </si>
  <si>
    <t>no segment info</t>
  </si>
  <si>
    <t>net working capital off by 2,395</t>
  </si>
  <si>
    <t>no water</t>
  </si>
  <si>
    <t>Hardin (cash)</t>
  </si>
  <si>
    <t>Hardin  (cash)</t>
  </si>
  <si>
    <t>Lawrence (cash)</t>
  </si>
  <si>
    <t>not broken out in segment info and anywhere else</t>
  </si>
  <si>
    <t>Meigs (cash)</t>
  </si>
  <si>
    <t>no enterprise fund</t>
  </si>
  <si>
    <t>no stmts, segment or anything draft filed</t>
  </si>
  <si>
    <t>Champaign  (cash)</t>
  </si>
  <si>
    <t>Champaign (cash)</t>
  </si>
  <si>
    <t>just sewer and landfill</t>
  </si>
  <si>
    <t>no water or sewer</t>
  </si>
  <si>
    <t xml:space="preserve">no water </t>
  </si>
  <si>
    <t>water and sewer are not broken out combined</t>
  </si>
  <si>
    <t>draft copy segment info highlighted as not done</t>
  </si>
  <si>
    <t>no water only sewage</t>
  </si>
  <si>
    <t>Williams (cash)</t>
  </si>
  <si>
    <t>Wyandot (cash)</t>
  </si>
  <si>
    <t>Putnam (cash)</t>
  </si>
  <si>
    <t>Portage(GASB34)</t>
  </si>
  <si>
    <t xml:space="preserve">Bulter </t>
  </si>
  <si>
    <t xml:space="preserve">         -- </t>
  </si>
  <si>
    <t xml:space="preserve">       --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</si>
  <si>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</si>
  <si>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</si>
  <si>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</si>
  <si>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</si>
  <si>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</si>
  <si>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</si>
  <si>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</si>
  <si>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</si>
  <si>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</si>
  <si>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</si>
  <si>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Crawford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</si>
  <si>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</si>
  <si>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</si>
  <si>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</si>
  <si>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</si>
  <si>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</si>
  <si>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</si>
  <si>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</si>
  <si>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</si>
  <si>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Landfill Enterprise Funds</t>
  </si>
  <si>
    <t>As of December 31, 2002</t>
  </si>
  <si>
    <t>Sewer Enterprise Fund</t>
  </si>
  <si>
    <t>Landfill Enterprise Fund</t>
  </si>
  <si>
    <t>Summary Data from the General Fund Balance Sheet</t>
  </si>
  <si>
    <t>Out</t>
  </si>
  <si>
    <t>In</t>
  </si>
  <si>
    <t>Change in</t>
  </si>
  <si>
    <t>Revenue/Expense</t>
  </si>
  <si>
    <t>Plant and</t>
  </si>
  <si>
    <t>Equipment</t>
  </si>
  <si>
    <t>Within</t>
  </si>
  <si>
    <t>and Interest</t>
  </si>
  <si>
    <t>Transfers-</t>
  </si>
  <si>
    <t xml:space="preserve">Transfers- </t>
  </si>
  <si>
    <t>Sewer Enterprise Funds</t>
  </si>
  <si>
    <t>Capital Assets</t>
  </si>
  <si>
    <t xml:space="preserve">                     Liabilities</t>
  </si>
  <si>
    <t>Summary Data from the Statement of Net Assets/Fund Equity</t>
  </si>
  <si>
    <t xml:space="preserve">Long-Term Obligations </t>
  </si>
  <si>
    <t>General Long-Term Obligations</t>
  </si>
  <si>
    <t xml:space="preserve">Additions to </t>
  </si>
  <si>
    <t xml:space="preserve">Property, </t>
  </si>
  <si>
    <t>Deletions from</t>
  </si>
  <si>
    <t>Expenses</t>
  </si>
  <si>
    <t>Summary Data from the Statement of Revenues, Expenses and Changes in Net Assets/Fund Equity</t>
  </si>
  <si>
    <t>Additions to</t>
  </si>
  <si>
    <t>Grants,</t>
  </si>
  <si>
    <t>General Fund</t>
  </si>
  <si>
    <t>Expenses from the Statement of Activities - Governmental Activities</t>
  </si>
  <si>
    <t xml:space="preserve">Total General </t>
  </si>
  <si>
    <t xml:space="preserve">and Program </t>
  </si>
  <si>
    <t>Summary Data from the Statement of Net Assets - Governmental Activities</t>
  </si>
  <si>
    <t>All Counties Reporting Under GASB 34</t>
  </si>
  <si>
    <t xml:space="preserve">                 General Revenues - Governmental Activities</t>
  </si>
  <si>
    <t>Unreserved</t>
  </si>
  <si>
    <t>Continued</t>
  </si>
  <si>
    <t>General Fund Revenues - Modified Accrual Basis of Accounting</t>
  </si>
  <si>
    <t>Taxes (1)</t>
  </si>
  <si>
    <t>All Other</t>
  </si>
  <si>
    <t>General Fund Expenditures - Modified Accrual Basis of Accounting</t>
  </si>
  <si>
    <t>Governmental Fund Revenue - Modified Accrual Basis of Accounting</t>
  </si>
  <si>
    <t xml:space="preserve"> </t>
  </si>
  <si>
    <t>Governmental Fund Expenditures - Modified Accrual Basis of Accounting</t>
  </si>
  <si>
    <t>Net Assets/</t>
  </si>
  <si>
    <t>Fund Equity</t>
  </si>
  <si>
    <t>Working</t>
  </si>
  <si>
    <t xml:space="preserve">N/A </t>
  </si>
  <si>
    <t>Revenues and</t>
  </si>
  <si>
    <t>Revenues from the Statement of Activities - Governmental Activities</t>
  </si>
  <si>
    <t>Expenses and</t>
  </si>
  <si>
    <t>(1) May include sales tax revenue if not</t>
  </si>
  <si>
    <t xml:space="preserve">      separately identified in the sales tax column.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</si>
</sst>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7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16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16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Fill="1" applyAlignment="1">
      <alignment horizontal="right"/>
    </xf>
    <xf numFmtId="3" fontId="8" fillId="0" borderId="0" xfId="16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16" applyFont="1" applyBorder="1" applyAlignment="1">
      <alignment horizontal="left"/>
    </xf>
    <xf numFmtId="3" fontId="8" fillId="0" borderId="0" xfId="16" applyFont="1" applyBorder="1" applyAlignment="1">
      <alignment horizontal="right"/>
    </xf>
    <xf numFmtId="3" fontId="8" fillId="0" borderId="0" xfId="16" applyFont="1" applyBorder="1" applyAlignment="1">
      <alignment horizontal="left"/>
    </xf>
    <xf numFmtId="3" fontId="8" fillId="0" borderId="0" xfId="16" applyFont="1" applyBorder="1" applyAlignment="1">
      <alignment/>
    </xf>
    <xf numFmtId="3" fontId="8" fillId="0" borderId="0" xfId="16" applyFont="1" applyBorder="1" applyAlignment="1">
      <alignment horizontal="center"/>
    </xf>
    <xf numFmtId="3" fontId="8" fillId="0" borderId="2" xfId="16" applyFont="1" applyFill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8" fillId="0" borderId="0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vertical="top"/>
    </xf>
    <xf numFmtId="37" fontId="8" fillId="0" borderId="0" xfId="16" applyNumberFormat="1" applyFont="1" applyBorder="1" applyAlignment="1">
      <alignment horizontal="right"/>
    </xf>
    <xf numFmtId="37" fontId="8" fillId="0" borderId="3" xfId="0" applyNumberFormat="1" applyFont="1" applyFill="1" applyBorder="1" applyAlignment="1">
      <alignment horizontal="center"/>
    </xf>
    <xf numFmtId="37" fontId="8" fillId="0" borderId="3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8" fillId="0" borderId="2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7" fontId="8" fillId="0" borderId="0" xfId="0" applyNumberFormat="1" applyFont="1" applyBorder="1" applyAlignment="1">
      <alignment horizontal="centerContinuous"/>
    </xf>
    <xf numFmtId="14" fontId="8" fillId="0" borderId="3" xfId="0" applyNumberFormat="1" applyFont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5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 horizontal="right"/>
    </xf>
    <xf numFmtId="169" fontId="8" fillId="0" borderId="0" xfId="16" applyNumberFormat="1" applyFont="1" applyBorder="1" applyAlignment="1">
      <alignment horizontal="right"/>
    </xf>
    <xf numFmtId="169" fontId="8" fillId="0" borderId="0" xfId="0" applyNumberFormat="1" applyFont="1" applyAlignment="1">
      <alignment horizontal="right"/>
    </xf>
    <xf numFmtId="5" fontId="8" fillId="0" borderId="0" xfId="0" applyNumberFormat="1" applyFont="1" applyAlignment="1">
      <alignment horizontal="right"/>
    </xf>
    <xf numFmtId="5" fontId="8" fillId="0" borderId="0" xfId="0" applyNumberFormat="1" applyFont="1" applyFill="1" applyAlignment="1">
      <alignment horizontal="right"/>
    </xf>
    <xf numFmtId="5" fontId="8" fillId="0" borderId="0" xfId="16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Fill="1" applyAlignment="1">
      <alignment horizontal="right"/>
    </xf>
    <xf numFmtId="37" fontId="8" fillId="0" borderId="0" xfId="16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18" applyNumberFormat="1" applyFont="1" applyBorder="1" applyAlignment="1">
      <alignment/>
    </xf>
    <xf numFmtId="5" fontId="8" fillId="0" borderId="0" xfId="18" applyFont="1" applyBorder="1" applyAlignment="1">
      <alignment/>
    </xf>
    <xf numFmtId="5" fontId="8" fillId="0" borderId="0" xfId="16" applyNumberFormat="1" applyFont="1" applyBorder="1" applyAlignment="1">
      <alignment horizontal="right"/>
    </xf>
    <xf numFmtId="37" fontId="8" fillId="0" borderId="0" xfId="0" applyNumberFormat="1" applyFont="1" applyBorder="1" applyAlignment="1" quotePrefix="1">
      <alignment horizontal="centerContinuous"/>
    </xf>
    <xf numFmtId="3" fontId="8" fillId="0" borderId="0" xfId="16" applyFont="1" applyBorder="1" applyAlignment="1">
      <alignment/>
    </xf>
    <xf numFmtId="5" fontId="8" fillId="0" borderId="0" xfId="0" applyNumberFormat="1" applyFont="1" applyBorder="1" applyAlignment="1">
      <alignment vertical="top"/>
    </xf>
    <xf numFmtId="37" fontId="8" fillId="0" borderId="0" xfId="16" applyNumberFormat="1" applyFont="1" applyBorder="1" applyAlignment="1">
      <alignment/>
    </xf>
    <xf numFmtId="37" fontId="8" fillId="0" borderId="0" xfId="0" applyNumberFormat="1" applyFont="1" applyBorder="1" applyAlignment="1">
      <alignment horizontal="right" vertical="top"/>
    </xf>
    <xf numFmtId="5" fontId="8" fillId="0" borderId="0" xfId="16" applyNumberFormat="1" applyFont="1" applyBorder="1" applyAlignment="1">
      <alignment/>
    </xf>
    <xf numFmtId="5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7" fillId="0" borderId="0" xfId="16" applyFont="1" applyBorder="1" applyAlignment="1">
      <alignment/>
    </xf>
    <xf numFmtId="3" fontId="8" fillId="0" borderId="0" xfId="16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8" fillId="0" borderId="3" xfId="16" applyFont="1" applyBorder="1" applyAlignment="1">
      <alignment horizontal="center"/>
    </xf>
    <xf numFmtId="3" fontId="8" fillId="0" borderId="0" xfId="16" applyFont="1" applyFill="1" applyBorder="1" applyAlignment="1">
      <alignment/>
    </xf>
    <xf numFmtId="37" fontId="8" fillId="0" borderId="0" xfId="0" applyNumberFormat="1" applyFont="1" applyFill="1" applyBorder="1" applyAlignment="1">
      <alignment vertical="top"/>
    </xf>
    <xf numFmtId="37" fontId="8" fillId="0" borderId="0" xfId="16" applyNumberFormat="1" applyFont="1" applyFill="1" applyBorder="1" applyAlignment="1">
      <alignment/>
    </xf>
    <xf numFmtId="37" fontId="8" fillId="0" borderId="0" xfId="1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7" fontId="8" fillId="0" borderId="3" xfId="0" applyNumberFormat="1" applyFont="1" applyFill="1" applyBorder="1" applyAlignment="1">
      <alignment horizontal="center"/>
    </xf>
    <xf numFmtId="5" fontId="8" fillId="0" borderId="0" xfId="0" applyNumberFormat="1" applyFont="1" applyFill="1" applyBorder="1" applyAlignment="1">
      <alignment vertical="top"/>
    </xf>
    <xf numFmtId="3" fontId="8" fillId="0" borderId="0" xfId="16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centerContinuous"/>
    </xf>
    <xf numFmtId="37" fontId="8" fillId="0" borderId="0" xfId="0" applyNumberFormat="1" applyFont="1" applyFill="1" applyBorder="1" applyAlignment="1">
      <alignment horizontal="right" vertical="top"/>
    </xf>
    <xf numFmtId="37" fontId="8" fillId="0" borderId="0" xfId="0" applyNumberFormat="1" applyFont="1" applyAlignment="1">
      <alignment horizontal="right" vertical="justify"/>
    </xf>
    <xf numFmtId="37" fontId="8" fillId="0" borderId="0" xfId="16" applyNumberFormat="1" applyFont="1" applyAlignment="1">
      <alignment horizontal="right" vertical="justify"/>
    </xf>
    <xf numFmtId="37" fontId="8" fillId="0" borderId="0" xfId="0" applyNumberFormat="1" applyFont="1" applyAlignment="1">
      <alignment horizontal="left" vertical="justify"/>
    </xf>
    <xf numFmtId="5" fontId="8" fillId="0" borderId="0" xfId="0" applyNumberFormat="1" applyFont="1" applyAlignment="1">
      <alignment horizontal="right" vertical="justify"/>
    </xf>
    <xf numFmtId="5" fontId="8" fillId="0" borderId="0" xfId="16" applyNumberFormat="1" applyFont="1" applyBorder="1" applyAlignment="1">
      <alignment horizontal="right" vertical="justify"/>
    </xf>
    <xf numFmtId="5" fontId="8" fillId="0" borderId="0" xfId="16" applyNumberFormat="1" applyFont="1" applyAlignment="1">
      <alignment horizontal="right" vertical="justify"/>
    </xf>
    <xf numFmtId="5" fontId="8" fillId="0" borderId="0" xfId="0" applyNumberFormat="1" applyFont="1" applyAlignment="1">
      <alignment horizontal="left" vertical="justify"/>
    </xf>
    <xf numFmtId="3" fontId="8" fillId="0" borderId="0" xfId="0" applyNumberFormat="1" applyFont="1" applyAlignment="1">
      <alignment horizontal="left"/>
    </xf>
    <xf numFmtId="37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3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7" fontId="8" fillId="0" borderId="0" xfId="0" applyNumberFormat="1" applyFont="1" applyFill="1" applyBorder="1" applyAlignment="1">
      <alignment horizontal="center"/>
    </xf>
    <xf numFmtId="3" fontId="7" fillId="0" borderId="0" xfId="16" applyFont="1" applyBorder="1" applyAlignment="1">
      <alignment horizontal="lef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K42" sqref="K42"/>
    </sheetView>
  </sheetViews>
  <sheetFormatPr defaultColWidth="9.140625" defaultRowHeight="12.75"/>
  <cols>
    <col min="1" max="1" width="11.7109375" style="2" customWidth="1"/>
    <col min="2" max="2" width="1.7109375" style="2" customWidth="1"/>
    <col min="3" max="3" width="11.7109375" style="5" customWidth="1"/>
    <col min="4" max="4" width="1.7109375" style="5" customWidth="1"/>
    <col min="5" max="5" width="11.7109375" style="5" customWidth="1"/>
    <col min="6" max="6" width="1.7109375" style="5" customWidth="1"/>
    <col min="7" max="7" width="11.7109375" style="5" customWidth="1"/>
    <col min="8" max="8" width="1.7109375" style="5" customWidth="1"/>
    <col min="9" max="9" width="11.7109375" style="5" customWidth="1"/>
    <col min="10" max="10" width="1.7109375" style="5" customWidth="1"/>
    <col min="11" max="11" width="11.7109375" style="5" customWidth="1"/>
    <col min="12" max="12" width="2.140625" style="5" customWidth="1"/>
    <col min="13" max="13" width="11.7109375" style="5" customWidth="1"/>
    <col min="14" max="14" width="1.7109375" style="5" customWidth="1"/>
    <col min="15" max="15" width="11.7109375" style="5" customWidth="1"/>
    <col min="16" max="16" width="1.7109375" style="5" customWidth="1"/>
    <col min="17" max="17" width="11.7109375" style="5" customWidth="1"/>
    <col min="18" max="18" width="1.7109375" style="5" customWidth="1"/>
    <col min="19" max="19" width="11.7109375" style="5" customWidth="1"/>
    <col min="20" max="20" width="1.7109375" style="5" customWidth="1"/>
    <col min="21" max="21" width="11.7109375" style="5" customWidth="1"/>
    <col min="22" max="22" width="1.7109375" style="5" customWidth="1"/>
    <col min="23" max="23" width="11.7109375" style="5" customWidth="1"/>
    <col min="24" max="24" width="2.7109375" style="5" customWidth="1"/>
    <col min="25" max="25" width="15.7109375" style="2" hidden="1" customWidth="1"/>
    <col min="26" max="16384" width="9.140625" style="2" customWidth="1"/>
  </cols>
  <sheetData>
    <row r="1" spans="1:10" ht="12">
      <c r="A1" s="118" t="s">
        <v>242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2">
      <c r="A2" s="1" t="s">
        <v>211</v>
      </c>
    </row>
    <row r="3" ht="12">
      <c r="A3" s="1"/>
    </row>
    <row r="4" ht="12">
      <c r="A4" s="1" t="s">
        <v>243</v>
      </c>
    </row>
    <row r="7" spans="3:23" ht="12">
      <c r="C7" s="117" t="s">
        <v>117</v>
      </c>
      <c r="D7" s="117"/>
      <c r="E7" s="117"/>
      <c r="F7" s="117"/>
      <c r="G7" s="117"/>
      <c r="H7" s="49"/>
      <c r="I7" s="49"/>
      <c r="K7" s="117" t="s">
        <v>227</v>
      </c>
      <c r="L7" s="117"/>
      <c r="M7" s="117"/>
      <c r="N7" s="49"/>
      <c r="O7" s="49"/>
      <c r="Q7" s="117" t="s">
        <v>142</v>
      </c>
      <c r="R7" s="117"/>
      <c r="S7" s="117"/>
      <c r="T7" s="117"/>
      <c r="U7" s="117"/>
      <c r="V7" s="49"/>
      <c r="W7" s="49"/>
    </row>
    <row r="8" spans="1:23" ht="12">
      <c r="A8" s="3"/>
      <c r="B8" s="3"/>
      <c r="C8" s="35" t="s">
        <v>140</v>
      </c>
      <c r="D8" s="35"/>
      <c r="E8" s="35" t="s">
        <v>90</v>
      </c>
      <c r="F8" s="35"/>
      <c r="G8" s="35" t="s">
        <v>121</v>
      </c>
      <c r="H8" s="36"/>
      <c r="I8" s="36" t="s">
        <v>3</v>
      </c>
      <c r="K8" s="35" t="s">
        <v>140</v>
      </c>
      <c r="L8" s="35"/>
      <c r="M8" s="35" t="s">
        <v>143</v>
      </c>
      <c r="N8" s="36"/>
      <c r="O8" s="36" t="s">
        <v>3</v>
      </c>
      <c r="Q8" s="36" t="s">
        <v>144</v>
      </c>
      <c r="R8" s="36"/>
      <c r="S8" s="36"/>
      <c r="T8" s="36"/>
      <c r="U8" s="36"/>
      <c r="V8" s="36"/>
      <c r="W8" s="36" t="s">
        <v>3</v>
      </c>
    </row>
    <row r="9" spans="1:23" ht="12">
      <c r="A9" s="53" t="s">
        <v>4</v>
      </c>
      <c r="B9" s="47"/>
      <c r="C9" s="41" t="s">
        <v>117</v>
      </c>
      <c r="D9" s="36"/>
      <c r="E9" s="41" t="s">
        <v>117</v>
      </c>
      <c r="F9" s="36"/>
      <c r="G9" s="41" t="s">
        <v>145</v>
      </c>
      <c r="H9" s="36"/>
      <c r="I9" s="41" t="s">
        <v>117</v>
      </c>
      <c r="J9" s="34"/>
      <c r="K9" s="48" t="s">
        <v>124</v>
      </c>
      <c r="L9" s="51"/>
      <c r="M9" s="48" t="s">
        <v>124</v>
      </c>
      <c r="N9" s="51"/>
      <c r="O9" s="41" t="s">
        <v>124</v>
      </c>
      <c r="P9" s="34"/>
      <c r="Q9" s="41" t="s">
        <v>226</v>
      </c>
      <c r="R9" s="36"/>
      <c r="S9" s="41" t="s">
        <v>146</v>
      </c>
      <c r="T9" s="36"/>
      <c r="U9" s="41" t="s">
        <v>147</v>
      </c>
      <c r="V9" s="36"/>
      <c r="W9" s="48" t="s">
        <v>142</v>
      </c>
    </row>
    <row r="10" spans="1:23" ht="12">
      <c r="A10" s="47"/>
      <c r="B10" s="47"/>
      <c r="C10" s="36"/>
      <c r="D10" s="36"/>
      <c r="E10" s="36"/>
      <c r="F10" s="36"/>
      <c r="G10" s="36"/>
      <c r="H10" s="36"/>
      <c r="I10" s="36"/>
      <c r="K10" s="51"/>
      <c r="L10" s="51"/>
      <c r="M10" s="51"/>
      <c r="N10" s="51"/>
      <c r="O10" s="36"/>
      <c r="Q10" s="36"/>
      <c r="R10" s="36"/>
      <c r="S10" s="36"/>
      <c r="T10" s="36"/>
      <c r="U10" s="36"/>
      <c r="V10" s="36"/>
      <c r="W10" s="51"/>
    </row>
    <row r="11" spans="1:23" ht="12" hidden="1">
      <c r="A11" s="13" t="s">
        <v>12</v>
      </c>
      <c r="B11" s="13"/>
      <c r="C11" s="5" t="s">
        <v>189</v>
      </c>
      <c r="E11" s="5" t="s">
        <v>189</v>
      </c>
      <c r="G11" s="5" t="s">
        <v>189</v>
      </c>
      <c r="I11" s="5" t="s">
        <v>189</v>
      </c>
      <c r="K11" s="5" t="s">
        <v>189</v>
      </c>
      <c r="M11" s="5" t="s">
        <v>189</v>
      </c>
      <c r="O11" s="5" t="s">
        <v>189</v>
      </c>
      <c r="Q11" s="5" t="s">
        <v>189</v>
      </c>
      <c r="S11" s="5" t="s">
        <v>189</v>
      </c>
      <c r="U11" s="5" t="s">
        <v>189</v>
      </c>
      <c r="W11" s="5" t="s">
        <v>189</v>
      </c>
    </row>
    <row r="12" spans="1:23" ht="12" hidden="1">
      <c r="A12" s="13" t="s">
        <v>13</v>
      </c>
      <c r="B12" s="13"/>
      <c r="C12" s="5" t="s">
        <v>189</v>
      </c>
      <c r="E12" s="5" t="s">
        <v>189</v>
      </c>
      <c r="G12" s="5" t="s">
        <v>189</v>
      </c>
      <c r="I12" s="5" t="s">
        <v>189</v>
      </c>
      <c r="K12" s="5" t="s">
        <v>189</v>
      </c>
      <c r="M12" s="5" t="s">
        <v>189</v>
      </c>
      <c r="O12" s="5" t="s">
        <v>189</v>
      </c>
      <c r="Q12" s="5" t="s">
        <v>189</v>
      </c>
      <c r="S12" s="5" t="s">
        <v>189</v>
      </c>
      <c r="U12" s="5" t="s">
        <v>189</v>
      </c>
      <c r="W12" s="5" t="s">
        <v>189</v>
      </c>
    </row>
    <row r="13" spans="1:23" ht="12" hidden="1">
      <c r="A13" s="13" t="s">
        <v>14</v>
      </c>
      <c r="B13" s="13"/>
      <c r="C13" s="5" t="s">
        <v>189</v>
      </c>
      <c r="E13" s="5" t="s">
        <v>189</v>
      </c>
      <c r="G13" s="5" t="s">
        <v>189</v>
      </c>
      <c r="I13" s="5" t="s">
        <v>189</v>
      </c>
      <c r="K13" s="5" t="s">
        <v>189</v>
      </c>
      <c r="M13" s="5" t="s">
        <v>189</v>
      </c>
      <c r="O13" s="5" t="s">
        <v>189</v>
      </c>
      <c r="Q13" s="5" t="s">
        <v>189</v>
      </c>
      <c r="S13" s="5" t="s">
        <v>189</v>
      </c>
      <c r="U13" s="5" t="s">
        <v>189</v>
      </c>
      <c r="W13" s="5" t="s">
        <v>189</v>
      </c>
    </row>
    <row r="14" spans="1:23" ht="12" hidden="1">
      <c r="A14" s="13" t="s">
        <v>15</v>
      </c>
      <c r="B14" s="13"/>
      <c r="C14" s="5" t="s">
        <v>189</v>
      </c>
      <c r="E14" s="5" t="s">
        <v>189</v>
      </c>
      <c r="G14" s="5" t="s">
        <v>189</v>
      </c>
      <c r="I14" s="5" t="s">
        <v>189</v>
      </c>
      <c r="K14" s="5" t="s">
        <v>189</v>
      </c>
      <c r="M14" s="5" t="s">
        <v>189</v>
      </c>
      <c r="O14" s="5" t="s">
        <v>189</v>
      </c>
      <c r="Q14" s="5" t="s">
        <v>189</v>
      </c>
      <c r="S14" s="5" t="s">
        <v>189</v>
      </c>
      <c r="U14" s="5" t="s">
        <v>189</v>
      </c>
      <c r="W14" s="5" t="s">
        <v>189</v>
      </c>
    </row>
    <row r="15" spans="1:23" ht="12" hidden="1">
      <c r="A15" s="13" t="s">
        <v>16</v>
      </c>
      <c r="B15" s="13"/>
      <c r="C15" s="5" t="s">
        <v>189</v>
      </c>
      <c r="E15" s="5" t="s">
        <v>189</v>
      </c>
      <c r="G15" s="5" t="s">
        <v>189</v>
      </c>
      <c r="I15" s="5" t="s">
        <v>189</v>
      </c>
      <c r="K15" s="5" t="s">
        <v>189</v>
      </c>
      <c r="M15" s="5" t="s">
        <v>189</v>
      </c>
      <c r="O15" s="5" t="s">
        <v>189</v>
      </c>
      <c r="Q15" s="5" t="s">
        <v>189</v>
      </c>
      <c r="S15" s="5" t="s">
        <v>189</v>
      </c>
      <c r="U15" s="5" t="s">
        <v>189</v>
      </c>
      <c r="W15" s="5" t="s">
        <v>189</v>
      </c>
    </row>
    <row r="16" spans="1:23" ht="12" hidden="1">
      <c r="A16" s="13" t="s">
        <v>17</v>
      </c>
      <c r="B16" s="13"/>
      <c r="C16" s="5" t="s">
        <v>189</v>
      </c>
      <c r="E16" s="5" t="s">
        <v>189</v>
      </c>
      <c r="G16" s="5" t="s">
        <v>189</v>
      </c>
      <c r="I16" s="5" t="s">
        <v>189</v>
      </c>
      <c r="K16" s="5" t="s">
        <v>189</v>
      </c>
      <c r="M16" s="5" t="s">
        <v>189</v>
      </c>
      <c r="O16" s="5" t="s">
        <v>189</v>
      </c>
      <c r="Q16" s="5" t="s">
        <v>189</v>
      </c>
      <c r="S16" s="5" t="s">
        <v>189</v>
      </c>
      <c r="U16" s="5" t="s">
        <v>189</v>
      </c>
      <c r="W16" s="5" t="s">
        <v>189</v>
      </c>
    </row>
    <row r="17" spans="1:23" ht="12" hidden="1">
      <c r="A17" s="13" t="s">
        <v>18</v>
      </c>
      <c r="B17" s="13"/>
      <c r="C17" s="5" t="s">
        <v>189</v>
      </c>
      <c r="E17" s="5" t="s">
        <v>189</v>
      </c>
      <c r="G17" s="5" t="s">
        <v>189</v>
      </c>
      <c r="I17" s="5" t="s">
        <v>189</v>
      </c>
      <c r="K17" s="5" t="s">
        <v>189</v>
      </c>
      <c r="M17" s="5" t="s">
        <v>189</v>
      </c>
      <c r="O17" s="5" t="s">
        <v>189</v>
      </c>
      <c r="Q17" s="5" t="s">
        <v>189</v>
      </c>
      <c r="S17" s="5" t="s">
        <v>189</v>
      </c>
      <c r="U17" s="5" t="s">
        <v>189</v>
      </c>
      <c r="W17" s="5" t="s">
        <v>189</v>
      </c>
    </row>
    <row r="18" spans="1:23" ht="12" hidden="1">
      <c r="A18" s="13" t="s">
        <v>135</v>
      </c>
      <c r="B18" s="13"/>
      <c r="C18" s="5" t="s">
        <v>189</v>
      </c>
      <c r="E18" s="5" t="s">
        <v>189</v>
      </c>
      <c r="G18" s="5" t="s">
        <v>189</v>
      </c>
      <c r="I18" s="5" t="s">
        <v>189</v>
      </c>
      <c r="K18" s="5" t="s">
        <v>189</v>
      </c>
      <c r="M18" s="5" t="s">
        <v>189</v>
      </c>
      <c r="O18" s="5" t="s">
        <v>189</v>
      </c>
      <c r="Q18" s="5" t="s">
        <v>189</v>
      </c>
      <c r="S18" s="5" t="s">
        <v>189</v>
      </c>
      <c r="U18" s="5" t="s">
        <v>189</v>
      </c>
      <c r="W18" s="5" t="s">
        <v>189</v>
      </c>
    </row>
    <row r="19" spans="1:25" s="90" customFormat="1" ht="12">
      <c r="A19" s="54" t="s">
        <v>188</v>
      </c>
      <c r="B19" s="54"/>
      <c r="C19" s="59">
        <f>+I19-E19-G19</f>
        <v>171041456</v>
      </c>
      <c r="D19" s="59"/>
      <c r="E19" s="59">
        <f>124915256+239671446</f>
        <v>364586702</v>
      </c>
      <c r="F19" s="59"/>
      <c r="G19" s="59">
        <v>0</v>
      </c>
      <c r="H19" s="59"/>
      <c r="I19" s="59">
        <v>535628158</v>
      </c>
      <c r="J19" s="59"/>
      <c r="K19" s="59">
        <f>+O19-M19</f>
        <v>80872276</v>
      </c>
      <c r="L19" s="59"/>
      <c r="M19" s="59">
        <f>89935600+16801797</f>
        <v>106737397</v>
      </c>
      <c r="N19" s="59"/>
      <c r="O19" s="59">
        <v>187609673</v>
      </c>
      <c r="P19" s="59"/>
      <c r="Q19" s="59">
        <v>271096789</v>
      </c>
      <c r="R19" s="59"/>
      <c r="S19" s="60">
        <f>W19-U19-Q19</f>
        <v>70437748</v>
      </c>
      <c r="T19" s="59"/>
      <c r="U19" s="59">
        <v>6483948</v>
      </c>
      <c r="V19" s="59"/>
      <c r="W19" s="59">
        <v>348018485</v>
      </c>
      <c r="X19" s="55"/>
      <c r="Y19" s="55">
        <f aca="true" t="shared" si="0" ref="Y19:Y83">I19-O19-W19</f>
        <v>0</v>
      </c>
    </row>
    <row r="20" spans="1:25" ht="12" hidden="1">
      <c r="A20" s="13" t="s">
        <v>20</v>
      </c>
      <c r="B20" s="13"/>
      <c r="C20" s="5" t="s">
        <v>189</v>
      </c>
      <c r="E20" s="5" t="s">
        <v>189</v>
      </c>
      <c r="G20" s="5" t="s">
        <v>189</v>
      </c>
      <c r="I20" s="5" t="s">
        <v>189</v>
      </c>
      <c r="K20" s="5" t="s">
        <v>189</v>
      </c>
      <c r="M20" s="5" t="s">
        <v>189</v>
      </c>
      <c r="O20" s="5" t="s">
        <v>189</v>
      </c>
      <c r="Q20" s="5" t="s">
        <v>189</v>
      </c>
      <c r="S20" s="5" t="s">
        <v>189</v>
      </c>
      <c r="U20" s="5" t="s">
        <v>189</v>
      </c>
      <c r="W20" s="5" t="s">
        <v>189</v>
      </c>
      <c r="Y20" s="5" t="e">
        <f t="shared" si="0"/>
        <v>#VALUE!</v>
      </c>
    </row>
    <row r="21" spans="1:25" ht="12" hidden="1">
      <c r="A21" s="13" t="s">
        <v>176</v>
      </c>
      <c r="B21" s="13"/>
      <c r="C21" s="5" t="s">
        <v>189</v>
      </c>
      <c r="E21" s="5" t="s">
        <v>189</v>
      </c>
      <c r="G21" s="5" t="s">
        <v>189</v>
      </c>
      <c r="I21" s="5" t="s">
        <v>189</v>
      </c>
      <c r="K21" s="5" t="s">
        <v>189</v>
      </c>
      <c r="M21" s="5" t="s">
        <v>189</v>
      </c>
      <c r="O21" s="5" t="s">
        <v>189</v>
      </c>
      <c r="Q21" s="5" t="s">
        <v>189</v>
      </c>
      <c r="S21" s="5" t="s">
        <v>189</v>
      </c>
      <c r="U21" s="5" t="s">
        <v>189</v>
      </c>
      <c r="W21" s="5" t="s">
        <v>189</v>
      </c>
      <c r="Y21" s="5" t="e">
        <f t="shared" si="0"/>
        <v>#VALUE!</v>
      </c>
    </row>
    <row r="22" spans="1:25" ht="12" hidden="1">
      <c r="A22" s="13" t="s">
        <v>21</v>
      </c>
      <c r="B22" s="13"/>
      <c r="C22" s="5" t="s">
        <v>189</v>
      </c>
      <c r="E22" s="5" t="s">
        <v>189</v>
      </c>
      <c r="G22" s="5" t="s">
        <v>189</v>
      </c>
      <c r="I22" s="5" t="s">
        <v>189</v>
      </c>
      <c r="K22" s="5" t="s">
        <v>189</v>
      </c>
      <c r="M22" s="5" t="s">
        <v>189</v>
      </c>
      <c r="O22" s="5" t="s">
        <v>189</v>
      </c>
      <c r="Q22" s="5" t="s">
        <v>189</v>
      </c>
      <c r="S22" s="5" t="s">
        <v>189</v>
      </c>
      <c r="U22" s="5" t="s">
        <v>189</v>
      </c>
      <c r="W22" s="5" t="s">
        <v>189</v>
      </c>
      <c r="Y22" s="5" t="e">
        <f t="shared" si="0"/>
        <v>#VALUE!</v>
      </c>
    </row>
    <row r="23" spans="1:25" ht="12">
      <c r="A23" s="13" t="s">
        <v>194</v>
      </c>
      <c r="B23" s="13"/>
      <c r="C23" s="5">
        <f>+I23-E23-G23</f>
        <v>108084147</v>
      </c>
      <c r="E23" s="5">
        <f>100595046+21945377</f>
        <v>122540423</v>
      </c>
      <c r="G23" s="5">
        <v>0</v>
      </c>
      <c r="I23" s="5">
        <v>230624570</v>
      </c>
      <c r="K23" s="5">
        <f>+O23-M23</f>
        <v>25652666</v>
      </c>
      <c r="M23" s="5">
        <f>42584176+5520095</f>
        <v>48104271</v>
      </c>
      <c r="O23" s="5">
        <v>73756937</v>
      </c>
      <c r="Q23" s="5">
        <v>95134840</v>
      </c>
      <c r="S23" s="5">
        <f>W23-U23-Q23</f>
        <v>47092351</v>
      </c>
      <c r="U23" s="5">
        <v>14640442</v>
      </c>
      <c r="W23" s="5">
        <v>156867633</v>
      </c>
      <c r="Y23" s="5">
        <f t="shared" si="0"/>
        <v>0</v>
      </c>
    </row>
    <row r="24" spans="1:25" ht="12" hidden="1">
      <c r="A24" s="13" t="s">
        <v>23</v>
      </c>
      <c r="B24" s="13"/>
      <c r="C24" s="5" t="s">
        <v>189</v>
      </c>
      <c r="E24" s="5" t="s">
        <v>189</v>
      </c>
      <c r="G24" s="5" t="s">
        <v>189</v>
      </c>
      <c r="I24" s="5" t="s">
        <v>189</v>
      </c>
      <c r="K24" s="5" t="s">
        <v>189</v>
      </c>
      <c r="M24" s="5" t="s">
        <v>189</v>
      </c>
      <c r="O24" s="5" t="s">
        <v>189</v>
      </c>
      <c r="Q24" s="5" t="s">
        <v>189</v>
      </c>
      <c r="S24" s="5" t="s">
        <v>189</v>
      </c>
      <c r="U24" s="5" t="s">
        <v>189</v>
      </c>
      <c r="W24" s="5" t="s">
        <v>189</v>
      </c>
      <c r="Y24" s="5" t="e">
        <f t="shared" si="0"/>
        <v>#VALUE!</v>
      </c>
    </row>
    <row r="25" spans="1:25" ht="12" hidden="1">
      <c r="A25" s="13" t="s">
        <v>24</v>
      </c>
      <c r="B25" s="13"/>
      <c r="C25" s="5" t="s">
        <v>189</v>
      </c>
      <c r="E25" s="5" t="s">
        <v>189</v>
      </c>
      <c r="G25" s="5" t="s">
        <v>189</v>
      </c>
      <c r="I25" s="5" t="s">
        <v>189</v>
      </c>
      <c r="K25" s="5" t="s">
        <v>189</v>
      </c>
      <c r="M25" s="5" t="s">
        <v>189</v>
      </c>
      <c r="O25" s="5" t="s">
        <v>189</v>
      </c>
      <c r="Q25" s="5" t="s">
        <v>189</v>
      </c>
      <c r="S25" s="5" t="s">
        <v>189</v>
      </c>
      <c r="U25" s="5" t="s">
        <v>189</v>
      </c>
      <c r="W25" s="5" t="s">
        <v>189</v>
      </c>
      <c r="Y25" s="5" t="e">
        <f t="shared" si="0"/>
        <v>#VALUE!</v>
      </c>
    </row>
    <row r="26" spans="1:25" ht="12" hidden="1">
      <c r="A26" s="13" t="s">
        <v>25</v>
      </c>
      <c r="B26" s="13"/>
      <c r="C26" s="5">
        <f aca="true" t="shared" si="1" ref="C26:C31">+I26-E26-G26</f>
        <v>0</v>
      </c>
      <c r="K26" s="5">
        <f aca="true" t="shared" si="2" ref="K26:K31">+O26-M26</f>
        <v>0</v>
      </c>
      <c r="S26" s="5">
        <f aca="true" t="shared" si="3" ref="S26:S31">W26-U26-Q26</f>
        <v>0</v>
      </c>
      <c r="Y26" s="5">
        <f t="shared" si="0"/>
        <v>0</v>
      </c>
    </row>
    <row r="27" spans="1:25" ht="12">
      <c r="A27" s="13" t="s">
        <v>201</v>
      </c>
      <c r="B27" s="13"/>
      <c r="C27" s="5">
        <f t="shared" si="1"/>
        <v>23243008</v>
      </c>
      <c r="E27" s="5">
        <f>3570666+35949319</f>
        <v>39519985</v>
      </c>
      <c r="G27" s="5">
        <v>0</v>
      </c>
      <c r="I27" s="5">
        <v>62762993</v>
      </c>
      <c r="K27" s="5">
        <f t="shared" si="2"/>
        <v>6717402</v>
      </c>
      <c r="M27" s="5">
        <f>412810+11613345</f>
        <v>12026155</v>
      </c>
      <c r="O27" s="5">
        <v>18743557</v>
      </c>
      <c r="Q27" s="5">
        <v>28535880</v>
      </c>
      <c r="S27" s="5">
        <f t="shared" si="3"/>
        <v>10449957</v>
      </c>
      <c r="U27" s="5">
        <v>5033599</v>
      </c>
      <c r="W27" s="5">
        <v>44019436</v>
      </c>
      <c r="Y27" s="5">
        <f t="shared" si="0"/>
        <v>0</v>
      </c>
    </row>
    <row r="28" spans="1:25" s="90" customFormat="1" ht="12">
      <c r="A28" s="54" t="s">
        <v>26</v>
      </c>
      <c r="B28" s="54"/>
      <c r="C28" s="55">
        <f t="shared" si="1"/>
        <v>711127000</v>
      </c>
      <c r="D28" s="55"/>
      <c r="E28" s="55">
        <v>602718000</v>
      </c>
      <c r="F28" s="55"/>
      <c r="G28" s="55">
        <v>0</v>
      </c>
      <c r="H28" s="55"/>
      <c r="I28" s="55">
        <v>1313845000</v>
      </c>
      <c r="J28" s="55"/>
      <c r="K28" s="55">
        <f t="shared" si="2"/>
        <v>397984000</v>
      </c>
      <c r="L28" s="55"/>
      <c r="M28" s="55">
        <f>45438000+408801000</f>
        <v>454239000</v>
      </c>
      <c r="N28" s="55"/>
      <c r="O28" s="55">
        <v>852223000</v>
      </c>
      <c r="P28" s="55"/>
      <c r="Q28" s="55">
        <v>382539000</v>
      </c>
      <c r="R28" s="55"/>
      <c r="S28" s="55">
        <f t="shared" si="3"/>
        <v>35262000</v>
      </c>
      <c r="T28" s="55"/>
      <c r="U28" s="55">
        <v>43821000</v>
      </c>
      <c r="V28" s="55"/>
      <c r="W28" s="55">
        <v>461622000</v>
      </c>
      <c r="X28" s="55"/>
      <c r="Y28" s="55">
        <f t="shared" si="0"/>
        <v>0</v>
      </c>
    </row>
    <row r="29" spans="1:25" ht="12">
      <c r="A29" s="13" t="s">
        <v>27</v>
      </c>
      <c r="B29" s="13"/>
      <c r="C29" s="5">
        <f t="shared" si="1"/>
        <v>23217904</v>
      </c>
      <c r="E29" s="5">
        <v>81071509</v>
      </c>
      <c r="G29" s="5">
        <v>0</v>
      </c>
      <c r="I29" s="5">
        <v>104289413</v>
      </c>
      <c r="K29" s="5">
        <f t="shared" si="2"/>
        <v>7618956</v>
      </c>
      <c r="M29" s="5">
        <f>6108601+4519695</f>
        <v>10628296</v>
      </c>
      <c r="O29" s="5">
        <v>18247252</v>
      </c>
      <c r="Q29" s="5">
        <v>71889509</v>
      </c>
      <c r="S29" s="5">
        <f t="shared" si="3"/>
        <v>4978720</v>
      </c>
      <c r="U29" s="5">
        <v>9173932</v>
      </c>
      <c r="W29" s="5">
        <v>86042161</v>
      </c>
      <c r="Y29" s="5">
        <f t="shared" si="0"/>
        <v>0</v>
      </c>
    </row>
    <row r="30" spans="1:25" ht="12" hidden="1">
      <c r="A30" s="13" t="s">
        <v>28</v>
      </c>
      <c r="B30" s="13"/>
      <c r="C30" s="5">
        <f t="shared" si="1"/>
        <v>0</v>
      </c>
      <c r="K30" s="5">
        <f t="shared" si="2"/>
        <v>0</v>
      </c>
      <c r="S30" s="5">
        <f t="shared" si="3"/>
        <v>0</v>
      </c>
      <c r="Y30" s="5">
        <f t="shared" si="0"/>
        <v>0</v>
      </c>
    </row>
    <row r="31" spans="1:25" ht="12">
      <c r="A31" s="13" t="s">
        <v>29</v>
      </c>
      <c r="B31" s="13"/>
      <c r="C31" s="5">
        <f t="shared" si="1"/>
        <v>82177000</v>
      </c>
      <c r="E31" s="5">
        <f>19033998+70076925</f>
        <v>89110923</v>
      </c>
      <c r="G31" s="5">
        <v>0</v>
      </c>
      <c r="I31" s="5">
        <v>171287923</v>
      </c>
      <c r="K31" s="5">
        <f t="shared" si="2"/>
        <v>17471301</v>
      </c>
      <c r="M31" s="5">
        <f>1381471+21214053</f>
        <v>22595524</v>
      </c>
      <c r="O31" s="5">
        <v>40066825</v>
      </c>
      <c r="Q31" s="5">
        <v>69180923</v>
      </c>
      <c r="S31" s="5">
        <f t="shared" si="3"/>
        <v>47111618</v>
      </c>
      <c r="U31" s="5">
        <v>14928557</v>
      </c>
      <c r="W31" s="5">
        <v>131221098</v>
      </c>
      <c r="Y31" s="5">
        <f t="shared" si="0"/>
        <v>0</v>
      </c>
    </row>
    <row r="32" spans="1:25" ht="12" hidden="1">
      <c r="A32" s="13" t="s">
        <v>30</v>
      </c>
      <c r="B32" s="13"/>
      <c r="C32" s="5" t="s">
        <v>189</v>
      </c>
      <c r="E32" s="5" t="s">
        <v>189</v>
      </c>
      <c r="G32" s="5" t="s">
        <v>189</v>
      </c>
      <c r="I32" s="5" t="s">
        <v>189</v>
      </c>
      <c r="K32" s="5" t="s">
        <v>189</v>
      </c>
      <c r="M32" s="5" t="s">
        <v>189</v>
      </c>
      <c r="O32" s="5" t="s">
        <v>189</v>
      </c>
      <c r="Q32" s="5" t="s">
        <v>189</v>
      </c>
      <c r="S32" s="5" t="s">
        <v>189</v>
      </c>
      <c r="U32" s="5" t="s">
        <v>189</v>
      </c>
      <c r="W32" s="5" t="s">
        <v>189</v>
      </c>
      <c r="Y32" s="5" t="e">
        <f t="shared" si="0"/>
        <v>#VALUE!</v>
      </c>
    </row>
    <row r="33" spans="1:25" ht="12" hidden="1">
      <c r="A33" s="13" t="s">
        <v>31</v>
      </c>
      <c r="B33" s="13"/>
      <c r="C33" s="5" t="s">
        <v>189</v>
      </c>
      <c r="E33" s="5" t="s">
        <v>189</v>
      </c>
      <c r="G33" s="5" t="s">
        <v>189</v>
      </c>
      <c r="I33" s="5" t="s">
        <v>189</v>
      </c>
      <c r="K33" s="5" t="s">
        <v>189</v>
      </c>
      <c r="M33" s="5" t="s">
        <v>189</v>
      </c>
      <c r="O33" s="5" t="s">
        <v>189</v>
      </c>
      <c r="Q33" s="5" t="s">
        <v>189</v>
      </c>
      <c r="S33" s="5" t="s">
        <v>189</v>
      </c>
      <c r="U33" s="5" t="s">
        <v>189</v>
      </c>
      <c r="W33" s="5" t="s">
        <v>189</v>
      </c>
      <c r="Y33" s="5" t="e">
        <f t="shared" si="0"/>
        <v>#VALUE!</v>
      </c>
    </row>
    <row r="34" spans="1:25" ht="12" hidden="1">
      <c r="A34" s="13" t="s">
        <v>32</v>
      </c>
      <c r="B34" s="13"/>
      <c r="C34" s="5" t="s">
        <v>189</v>
      </c>
      <c r="E34" s="5" t="s">
        <v>189</v>
      </c>
      <c r="G34" s="5" t="s">
        <v>189</v>
      </c>
      <c r="I34" s="5" t="s">
        <v>189</v>
      </c>
      <c r="K34" s="5" t="s">
        <v>189</v>
      </c>
      <c r="M34" s="5" t="s">
        <v>189</v>
      </c>
      <c r="O34" s="5" t="s">
        <v>189</v>
      </c>
      <c r="Q34" s="5" t="s">
        <v>189</v>
      </c>
      <c r="S34" s="5" t="s">
        <v>189</v>
      </c>
      <c r="U34" s="5" t="s">
        <v>189</v>
      </c>
      <c r="W34" s="5" t="s">
        <v>189</v>
      </c>
      <c r="Y34" s="5" t="e">
        <f t="shared" si="0"/>
        <v>#VALUE!</v>
      </c>
    </row>
    <row r="35" spans="1:25" s="90" customFormat="1" ht="12">
      <c r="A35" s="54" t="s">
        <v>33</v>
      </c>
      <c r="B35" s="54"/>
      <c r="C35" s="55">
        <f aca="true" t="shared" si="4" ref="C35:C41">+I35-E35-G35</f>
        <v>1056100000</v>
      </c>
      <c r="D35" s="55"/>
      <c r="E35" s="55">
        <f>326033000+87585000</f>
        <v>413618000</v>
      </c>
      <c r="F35" s="55"/>
      <c r="G35" s="55">
        <v>0</v>
      </c>
      <c r="H35" s="55"/>
      <c r="I35" s="55">
        <v>1469718000</v>
      </c>
      <c r="J35" s="55"/>
      <c r="K35" s="55">
        <f aca="true" t="shared" si="5" ref="K35:K41">+O35-M35</f>
        <v>547814000</v>
      </c>
      <c r="L35" s="55"/>
      <c r="M35" s="55">
        <f>170893000+10038000</f>
        <v>180931000</v>
      </c>
      <c r="N35" s="55"/>
      <c r="O35" s="55">
        <v>728745000</v>
      </c>
      <c r="P35" s="55"/>
      <c r="Q35" s="55">
        <v>286911000</v>
      </c>
      <c r="R35" s="55"/>
      <c r="S35" s="55">
        <f>W35-U35-Q35</f>
        <v>311099000</v>
      </c>
      <c r="T35" s="55"/>
      <c r="U35" s="55">
        <v>142963000</v>
      </c>
      <c r="V35" s="55"/>
      <c r="W35" s="55">
        <v>740973000</v>
      </c>
      <c r="X35" s="55"/>
      <c r="Y35" s="55">
        <f t="shared" si="0"/>
        <v>0</v>
      </c>
    </row>
    <row r="36" spans="1:25" ht="12" hidden="1">
      <c r="A36" s="13" t="s">
        <v>34</v>
      </c>
      <c r="B36" s="13"/>
      <c r="C36" s="5" t="s">
        <v>189</v>
      </c>
      <c r="E36" s="5" t="s">
        <v>189</v>
      </c>
      <c r="G36" s="5" t="s">
        <v>189</v>
      </c>
      <c r="I36" s="5" t="s">
        <v>189</v>
      </c>
      <c r="K36" s="5" t="s">
        <v>189</v>
      </c>
      <c r="M36" s="5" t="s">
        <v>189</v>
      </c>
      <c r="O36" s="5" t="s">
        <v>189</v>
      </c>
      <c r="Q36" s="5" t="s">
        <v>189</v>
      </c>
      <c r="S36" s="5" t="s">
        <v>189</v>
      </c>
      <c r="U36" s="5" t="s">
        <v>189</v>
      </c>
      <c r="W36" s="5" t="s">
        <v>189</v>
      </c>
      <c r="Y36" s="5" t="e">
        <f t="shared" si="0"/>
        <v>#VALUE!</v>
      </c>
    </row>
    <row r="37" spans="1:25" ht="12" hidden="1">
      <c r="A37" s="13" t="s">
        <v>35</v>
      </c>
      <c r="B37" s="13"/>
      <c r="C37" s="5" t="s">
        <v>189</v>
      </c>
      <c r="E37" s="5" t="s">
        <v>189</v>
      </c>
      <c r="G37" s="5" t="s">
        <v>189</v>
      </c>
      <c r="I37" s="5" t="s">
        <v>189</v>
      </c>
      <c r="K37" s="5" t="s">
        <v>189</v>
      </c>
      <c r="M37" s="5" t="s">
        <v>189</v>
      </c>
      <c r="O37" s="5" t="s">
        <v>189</v>
      </c>
      <c r="Q37" s="5" t="s">
        <v>189</v>
      </c>
      <c r="S37" s="5" t="s">
        <v>189</v>
      </c>
      <c r="U37" s="5" t="s">
        <v>189</v>
      </c>
      <c r="W37" s="5" t="s">
        <v>189</v>
      </c>
      <c r="Y37" s="5" t="e">
        <f t="shared" si="0"/>
        <v>#VALUE!</v>
      </c>
    </row>
    <row r="38" spans="1:25" ht="12">
      <c r="A38" s="13" t="s">
        <v>36</v>
      </c>
      <c r="B38" s="13"/>
      <c r="C38" s="5">
        <f t="shared" si="4"/>
        <v>60388347</v>
      </c>
      <c r="E38" s="5">
        <f>91051119+25174645</f>
        <v>116225764</v>
      </c>
      <c r="G38" s="5">
        <v>0</v>
      </c>
      <c r="I38" s="5">
        <v>176614111</v>
      </c>
      <c r="K38" s="5">
        <f t="shared" si="5"/>
        <v>23502466</v>
      </c>
      <c r="M38" s="5">
        <f>2191438+5769377</f>
        <v>7960815</v>
      </c>
      <c r="O38" s="5">
        <v>31463281</v>
      </c>
      <c r="Q38" s="5">
        <v>113765764</v>
      </c>
      <c r="S38" s="5">
        <f>W38-U38-Q38</f>
        <v>25614508</v>
      </c>
      <c r="U38" s="5">
        <v>5770558</v>
      </c>
      <c r="W38" s="5">
        <v>145150830</v>
      </c>
      <c r="Y38" s="5">
        <f t="shared" si="0"/>
        <v>0</v>
      </c>
    </row>
    <row r="39" spans="1:25" ht="12">
      <c r="A39" s="13" t="s">
        <v>195</v>
      </c>
      <c r="B39" s="13"/>
      <c r="C39" s="5">
        <f t="shared" si="4"/>
        <v>71713581</v>
      </c>
      <c r="E39" s="5">
        <f>32228272+131146246</f>
        <v>163374518</v>
      </c>
      <c r="G39" s="5">
        <v>0</v>
      </c>
      <c r="I39" s="5">
        <v>235088099</v>
      </c>
      <c r="K39" s="5">
        <f t="shared" si="5"/>
        <v>34131454</v>
      </c>
      <c r="M39" s="5">
        <f>1122979+20518612</f>
        <v>21641591</v>
      </c>
      <c r="O39" s="5">
        <v>55773045</v>
      </c>
      <c r="Q39" s="5">
        <v>140531198</v>
      </c>
      <c r="S39" s="5">
        <f>W39-U39-Q39</f>
        <v>24810707</v>
      </c>
      <c r="U39" s="5">
        <f>13973149</f>
        <v>13973149</v>
      </c>
      <c r="W39" s="5">
        <v>179315054</v>
      </c>
      <c r="Y39" s="5">
        <f t="shared" si="0"/>
        <v>0</v>
      </c>
    </row>
    <row r="40" spans="1:25" ht="12">
      <c r="A40" s="13" t="s">
        <v>37</v>
      </c>
      <c r="B40" s="13"/>
      <c r="C40" s="5">
        <f t="shared" si="4"/>
        <v>24619273</v>
      </c>
      <c r="E40" s="5">
        <f>1361958+82627426</f>
        <v>83989384</v>
      </c>
      <c r="G40" s="5">
        <v>0</v>
      </c>
      <c r="I40" s="5">
        <v>108608657</v>
      </c>
      <c r="K40" s="5">
        <f t="shared" si="5"/>
        <v>4351597</v>
      </c>
      <c r="M40" s="5">
        <f>3171017+5820097</f>
        <v>8991114</v>
      </c>
      <c r="O40" s="5">
        <v>13342711</v>
      </c>
      <c r="Q40" s="5">
        <v>78284176</v>
      </c>
      <c r="S40" s="5">
        <f>W40-U40-Q40</f>
        <v>13840270</v>
      </c>
      <c r="U40" s="5">
        <v>3141500</v>
      </c>
      <c r="W40" s="5">
        <v>95265946</v>
      </c>
      <c r="Y40" s="5">
        <f t="shared" si="0"/>
        <v>0</v>
      </c>
    </row>
    <row r="41" spans="1:25" ht="12">
      <c r="A41" s="13" t="s">
        <v>38</v>
      </c>
      <c r="B41" s="13"/>
      <c r="C41" s="5">
        <f t="shared" si="4"/>
        <v>617857000</v>
      </c>
      <c r="E41" s="5">
        <f>46176000+265060000</f>
        <v>311236000</v>
      </c>
      <c r="G41" s="5">
        <v>0</v>
      </c>
      <c r="I41" s="5">
        <v>929093000</v>
      </c>
      <c r="J41" s="5" t="s">
        <v>189</v>
      </c>
      <c r="K41" s="5">
        <f t="shared" si="5"/>
        <v>317515000</v>
      </c>
      <c r="M41" s="5">
        <v>194478000</v>
      </c>
      <c r="O41" s="5">
        <v>511993000</v>
      </c>
      <c r="Q41" s="5">
        <v>192051000</v>
      </c>
      <c r="S41" s="5">
        <f>W41-U41-Q41</f>
        <v>207590000</v>
      </c>
      <c r="U41" s="5">
        <v>17459000</v>
      </c>
      <c r="W41" s="5">
        <v>417100000</v>
      </c>
      <c r="Y41" s="5">
        <f t="shared" si="0"/>
        <v>0</v>
      </c>
    </row>
    <row r="42" spans="1:25" ht="12">
      <c r="A42" s="13" t="s">
        <v>39</v>
      </c>
      <c r="B42" s="13"/>
      <c r="C42" s="5">
        <f>+I42-E42-G42</f>
        <v>31956716</v>
      </c>
      <c r="E42" s="5">
        <f>24795735+49767629</f>
        <v>74563364</v>
      </c>
      <c r="G42" s="5">
        <v>0</v>
      </c>
      <c r="I42" s="5">
        <v>106520080</v>
      </c>
      <c r="K42" s="5">
        <f>+O42-M42</f>
        <v>14084136</v>
      </c>
      <c r="M42" s="5">
        <f>1342219+16049382</f>
        <v>17391601</v>
      </c>
      <c r="O42" s="5">
        <v>31475737</v>
      </c>
      <c r="Q42" s="5">
        <v>62859448</v>
      </c>
      <c r="S42" s="5">
        <f>W42-U42-Q42</f>
        <v>9672397</v>
      </c>
      <c r="U42" s="5">
        <v>2512498</v>
      </c>
      <c r="W42" s="5">
        <v>75044343</v>
      </c>
      <c r="Y42" s="5">
        <f t="shared" si="0"/>
        <v>0</v>
      </c>
    </row>
    <row r="43" spans="1:25" ht="12" hidden="1">
      <c r="A43" s="13" t="s">
        <v>169</v>
      </c>
      <c r="B43" s="13"/>
      <c r="C43" s="5" t="s">
        <v>189</v>
      </c>
      <c r="E43" s="5" t="s">
        <v>189</v>
      </c>
      <c r="G43" s="5" t="s">
        <v>189</v>
      </c>
      <c r="I43" s="5" t="s">
        <v>189</v>
      </c>
      <c r="J43" s="5" t="s">
        <v>189</v>
      </c>
      <c r="K43" s="5" t="s">
        <v>189</v>
      </c>
      <c r="M43" s="5" t="s">
        <v>189</v>
      </c>
      <c r="O43" s="5" t="s">
        <v>189</v>
      </c>
      <c r="Q43" s="5" t="s">
        <v>189</v>
      </c>
      <c r="S43" s="5" t="s">
        <v>189</v>
      </c>
      <c r="U43" s="5" t="s">
        <v>189</v>
      </c>
      <c r="W43" s="5" t="s">
        <v>189</v>
      </c>
      <c r="Y43" s="5" t="e">
        <f t="shared" si="0"/>
        <v>#VALUE!</v>
      </c>
    </row>
    <row r="44" spans="1:25" ht="12" hidden="1">
      <c r="A44" s="13" t="s">
        <v>40</v>
      </c>
      <c r="B44" s="13"/>
      <c r="C44" s="5" t="s">
        <v>189</v>
      </c>
      <c r="E44" s="5" t="s">
        <v>189</v>
      </c>
      <c r="G44" s="5" t="s">
        <v>189</v>
      </c>
      <c r="I44" s="5" t="s">
        <v>189</v>
      </c>
      <c r="K44" s="5" t="s">
        <v>189</v>
      </c>
      <c r="M44" s="5" t="s">
        <v>189</v>
      </c>
      <c r="O44" s="5" t="s">
        <v>189</v>
      </c>
      <c r="Q44" s="5" t="s">
        <v>189</v>
      </c>
      <c r="S44" s="5" t="s">
        <v>189</v>
      </c>
      <c r="U44" s="5" t="s">
        <v>189</v>
      </c>
      <c r="W44" s="5" t="s">
        <v>189</v>
      </c>
      <c r="Y44" s="5" t="e">
        <f t="shared" si="0"/>
        <v>#VALUE!</v>
      </c>
    </row>
    <row r="45" spans="1:25" ht="12" hidden="1">
      <c r="A45" s="13" t="s">
        <v>41</v>
      </c>
      <c r="B45" s="13"/>
      <c r="C45" s="5" t="s">
        <v>189</v>
      </c>
      <c r="E45" s="5" t="s">
        <v>189</v>
      </c>
      <c r="G45" s="5" t="s">
        <v>189</v>
      </c>
      <c r="I45" s="5" t="s">
        <v>189</v>
      </c>
      <c r="J45" s="5" t="s">
        <v>189</v>
      </c>
      <c r="K45" s="5" t="s">
        <v>189</v>
      </c>
      <c r="M45" s="5" t="s">
        <v>189</v>
      </c>
      <c r="O45" s="5" t="s">
        <v>189</v>
      </c>
      <c r="Q45" s="5" t="s">
        <v>189</v>
      </c>
      <c r="S45" s="5" t="s">
        <v>189</v>
      </c>
      <c r="U45" s="5" t="s">
        <v>189</v>
      </c>
      <c r="W45" s="5" t="s">
        <v>189</v>
      </c>
      <c r="Y45" s="5" t="e">
        <f t="shared" si="0"/>
        <v>#VALUE!</v>
      </c>
    </row>
    <row r="46" spans="1:25" ht="12" hidden="1">
      <c r="A46" s="13" t="s">
        <v>42</v>
      </c>
      <c r="B46" s="13"/>
      <c r="C46" s="5" t="s">
        <v>189</v>
      </c>
      <c r="E46" s="5" t="s">
        <v>189</v>
      </c>
      <c r="G46" s="5" t="s">
        <v>189</v>
      </c>
      <c r="I46" s="5" t="s">
        <v>189</v>
      </c>
      <c r="J46" s="5" t="s">
        <v>189</v>
      </c>
      <c r="K46" s="5" t="s">
        <v>189</v>
      </c>
      <c r="M46" s="5" t="s">
        <v>189</v>
      </c>
      <c r="O46" s="5" t="s">
        <v>189</v>
      </c>
      <c r="Q46" s="5" t="s">
        <v>189</v>
      </c>
      <c r="S46" s="5" t="s">
        <v>189</v>
      </c>
      <c r="U46" s="5" t="s">
        <v>189</v>
      </c>
      <c r="W46" s="5" t="s">
        <v>189</v>
      </c>
      <c r="Y46" s="5" t="e">
        <f t="shared" si="0"/>
        <v>#VALUE!</v>
      </c>
    </row>
    <row r="47" spans="1:25" ht="12" hidden="1">
      <c r="A47" s="13" t="s">
        <v>43</v>
      </c>
      <c r="B47" s="13"/>
      <c r="C47" s="5" t="s">
        <v>189</v>
      </c>
      <c r="E47" s="5" t="s">
        <v>189</v>
      </c>
      <c r="G47" s="5" t="s">
        <v>189</v>
      </c>
      <c r="I47" s="5" t="s">
        <v>189</v>
      </c>
      <c r="K47" s="5" t="s">
        <v>189</v>
      </c>
      <c r="M47" s="5" t="s">
        <v>189</v>
      </c>
      <c r="O47" s="5" t="s">
        <v>189</v>
      </c>
      <c r="Q47" s="5" t="s">
        <v>189</v>
      </c>
      <c r="S47" s="5" t="s">
        <v>189</v>
      </c>
      <c r="U47" s="5" t="s">
        <v>189</v>
      </c>
      <c r="W47" s="5" t="s">
        <v>189</v>
      </c>
      <c r="Y47" s="5" t="e">
        <f t="shared" si="0"/>
        <v>#VALUE!</v>
      </c>
    </row>
    <row r="48" spans="1:25" ht="12" hidden="1">
      <c r="A48" s="13" t="s">
        <v>44</v>
      </c>
      <c r="B48" s="13"/>
      <c r="C48" s="5" t="s">
        <v>189</v>
      </c>
      <c r="E48" s="5" t="s">
        <v>189</v>
      </c>
      <c r="G48" s="5" t="s">
        <v>189</v>
      </c>
      <c r="I48" s="5" t="s">
        <v>189</v>
      </c>
      <c r="J48" s="5" t="s">
        <v>189</v>
      </c>
      <c r="K48" s="5" t="s">
        <v>189</v>
      </c>
      <c r="M48" s="5" t="s">
        <v>189</v>
      </c>
      <c r="O48" s="5" t="s">
        <v>189</v>
      </c>
      <c r="Q48" s="5" t="s">
        <v>189</v>
      </c>
      <c r="S48" s="5" t="s">
        <v>189</v>
      </c>
      <c r="U48" s="5" t="s">
        <v>189</v>
      </c>
      <c r="W48" s="5" t="s">
        <v>189</v>
      </c>
      <c r="Y48" s="5" t="e">
        <f t="shared" si="0"/>
        <v>#VALUE!</v>
      </c>
    </row>
    <row r="49" spans="1:25" ht="12" hidden="1">
      <c r="A49" s="13" t="s">
        <v>45</v>
      </c>
      <c r="B49" s="13"/>
      <c r="C49" s="5" t="s">
        <v>189</v>
      </c>
      <c r="E49" s="5" t="s">
        <v>189</v>
      </c>
      <c r="G49" s="5" t="s">
        <v>189</v>
      </c>
      <c r="I49" s="5" t="s">
        <v>189</v>
      </c>
      <c r="J49" s="5" t="s">
        <v>189</v>
      </c>
      <c r="K49" s="5" t="s">
        <v>189</v>
      </c>
      <c r="M49" s="5" t="s">
        <v>189</v>
      </c>
      <c r="O49" s="5" t="s">
        <v>189</v>
      </c>
      <c r="Q49" s="5" t="s">
        <v>189</v>
      </c>
      <c r="S49" s="5" t="s">
        <v>189</v>
      </c>
      <c r="U49" s="5" t="s">
        <v>189</v>
      </c>
      <c r="W49" s="5" t="s">
        <v>189</v>
      </c>
      <c r="Y49" s="5" t="e">
        <f t="shared" si="0"/>
        <v>#VALUE!</v>
      </c>
    </row>
    <row r="50" spans="1:25" ht="12" hidden="1">
      <c r="A50" s="13" t="s">
        <v>46</v>
      </c>
      <c r="B50" s="13"/>
      <c r="C50" s="5" t="s">
        <v>189</v>
      </c>
      <c r="E50" s="5" t="s">
        <v>189</v>
      </c>
      <c r="G50" s="5" t="s">
        <v>189</v>
      </c>
      <c r="I50" s="5" t="s">
        <v>189</v>
      </c>
      <c r="J50" s="5" t="s">
        <v>189</v>
      </c>
      <c r="K50" s="5" t="s">
        <v>189</v>
      </c>
      <c r="M50" s="5" t="s">
        <v>189</v>
      </c>
      <c r="O50" s="5" t="s">
        <v>189</v>
      </c>
      <c r="Q50" s="5" t="s">
        <v>189</v>
      </c>
      <c r="S50" s="5" t="s">
        <v>189</v>
      </c>
      <c r="U50" s="5" t="s">
        <v>189</v>
      </c>
      <c r="W50" s="5" t="s">
        <v>189</v>
      </c>
      <c r="Y50" s="5" t="e">
        <f t="shared" si="0"/>
        <v>#VALUE!</v>
      </c>
    </row>
    <row r="51" spans="1:25" ht="12">
      <c r="A51" s="13" t="s">
        <v>47</v>
      </c>
      <c r="B51" s="13"/>
      <c r="C51" s="5">
        <f>+I51-E51-G51</f>
        <v>31942639</v>
      </c>
      <c r="E51" s="5">
        <f>6498550+86747705</f>
        <v>93246255</v>
      </c>
      <c r="G51" s="5">
        <v>0</v>
      </c>
      <c r="I51" s="5">
        <v>125188894</v>
      </c>
      <c r="K51" s="5">
        <f>+O51-M51</f>
        <v>19493215</v>
      </c>
      <c r="M51" s="5">
        <f>2348514+30008782</f>
        <v>32357296</v>
      </c>
      <c r="O51" s="5">
        <v>51850511</v>
      </c>
      <c r="Q51" s="5">
        <v>61368427</v>
      </c>
      <c r="S51" s="5">
        <f>W51-U51-Q51</f>
        <v>15676716</v>
      </c>
      <c r="U51" s="5">
        <v>-3706760</v>
      </c>
      <c r="W51" s="5">
        <v>73338383</v>
      </c>
      <c r="Y51" s="5">
        <f t="shared" si="0"/>
        <v>0</v>
      </c>
    </row>
    <row r="52" spans="1:25" ht="12" hidden="1">
      <c r="A52" s="13" t="s">
        <v>48</v>
      </c>
      <c r="B52" s="13"/>
      <c r="C52" s="5">
        <f>+I52-E52-G52</f>
        <v>0</v>
      </c>
      <c r="K52" s="5">
        <f>+O52-M52</f>
        <v>0</v>
      </c>
      <c r="S52" s="5">
        <f>W52-U52-Q52</f>
        <v>0</v>
      </c>
      <c r="Y52" s="5">
        <f t="shared" si="0"/>
        <v>0</v>
      </c>
    </row>
    <row r="53" spans="1:25" ht="12">
      <c r="A53" s="13" t="s">
        <v>49</v>
      </c>
      <c r="B53" s="13"/>
      <c r="C53" s="5">
        <f>+I53-G53-E53</f>
        <v>168474228</v>
      </c>
      <c r="E53" s="5">
        <f>15638286+166580424</f>
        <v>182218710</v>
      </c>
      <c r="G53" s="5">
        <v>0</v>
      </c>
      <c r="I53" s="5">
        <v>350692938</v>
      </c>
      <c r="K53" s="5">
        <f>+O53-M53</f>
        <v>54898969</v>
      </c>
      <c r="M53" s="5">
        <f>2866639+31518689</f>
        <v>34385328</v>
      </c>
      <c r="O53" s="5">
        <v>89284297</v>
      </c>
      <c r="Q53" s="5">
        <v>158814582</v>
      </c>
      <c r="S53" s="5">
        <f>3532702+1882727</f>
        <v>5415429</v>
      </c>
      <c r="U53" s="5">
        <v>97178630</v>
      </c>
      <c r="W53" s="5">
        <f>+Q53+S53+U53</f>
        <v>261408641</v>
      </c>
      <c r="Y53" s="5">
        <f t="shared" si="0"/>
        <v>0</v>
      </c>
    </row>
    <row r="54" spans="1:25" ht="12" hidden="1">
      <c r="A54" s="13" t="s">
        <v>171</v>
      </c>
      <c r="B54" s="13"/>
      <c r="C54" s="5" t="s">
        <v>189</v>
      </c>
      <c r="E54" s="5" t="s">
        <v>189</v>
      </c>
      <c r="G54" s="5" t="s">
        <v>189</v>
      </c>
      <c r="I54" s="5" t="s">
        <v>189</v>
      </c>
      <c r="J54" s="5" t="s">
        <v>189</v>
      </c>
      <c r="K54" s="5" t="s">
        <v>189</v>
      </c>
      <c r="M54" s="5" t="s">
        <v>189</v>
      </c>
      <c r="O54" s="5" t="s">
        <v>189</v>
      </c>
      <c r="Q54" s="5" t="s">
        <v>189</v>
      </c>
      <c r="S54" s="5" t="s">
        <v>189</v>
      </c>
      <c r="U54" s="5" t="s">
        <v>189</v>
      </c>
      <c r="W54" s="5" t="s">
        <v>189</v>
      </c>
      <c r="Y54" s="5" t="e">
        <f t="shared" si="0"/>
        <v>#VALUE!</v>
      </c>
    </row>
    <row r="55" spans="1:25" ht="12" hidden="1">
      <c r="A55" s="13" t="s">
        <v>50</v>
      </c>
      <c r="B55" s="13"/>
      <c r="C55" s="5" t="s">
        <v>189</v>
      </c>
      <c r="E55" s="5" t="s">
        <v>189</v>
      </c>
      <c r="G55" s="5" t="s">
        <v>189</v>
      </c>
      <c r="I55" s="5" t="s">
        <v>189</v>
      </c>
      <c r="J55" s="5" t="s">
        <v>189</v>
      </c>
      <c r="K55" s="5" t="s">
        <v>189</v>
      </c>
      <c r="M55" s="5" t="s">
        <v>189</v>
      </c>
      <c r="O55" s="5" t="s">
        <v>189</v>
      </c>
      <c r="Q55" s="5" t="s">
        <v>189</v>
      </c>
      <c r="S55" s="5" t="s">
        <v>189</v>
      </c>
      <c r="U55" s="5" t="s">
        <v>189</v>
      </c>
      <c r="W55" s="5" t="s">
        <v>189</v>
      </c>
      <c r="Y55" s="5" t="e">
        <f t="shared" si="0"/>
        <v>#VALUE!</v>
      </c>
    </row>
    <row r="56" spans="1:25" ht="12" hidden="1">
      <c r="A56" s="13" t="s">
        <v>51</v>
      </c>
      <c r="B56" s="13"/>
      <c r="C56" s="5" t="s">
        <v>189</v>
      </c>
      <c r="E56" s="5" t="s">
        <v>189</v>
      </c>
      <c r="G56" s="5" t="s">
        <v>189</v>
      </c>
      <c r="I56" s="5" t="s">
        <v>189</v>
      </c>
      <c r="J56" s="5" t="s">
        <v>189</v>
      </c>
      <c r="K56" s="5" t="s">
        <v>189</v>
      </c>
      <c r="M56" s="5" t="s">
        <v>189</v>
      </c>
      <c r="O56" s="5" t="s">
        <v>189</v>
      </c>
      <c r="Q56" s="5" t="s">
        <v>189</v>
      </c>
      <c r="S56" s="5" t="s">
        <v>189</v>
      </c>
      <c r="U56" s="5" t="s">
        <v>189</v>
      </c>
      <c r="W56" s="5" t="s">
        <v>189</v>
      </c>
      <c r="Y56" s="5" t="e">
        <f t="shared" si="0"/>
        <v>#VALUE!</v>
      </c>
    </row>
    <row r="57" spans="1:25" ht="12">
      <c r="A57" s="13" t="s">
        <v>52</v>
      </c>
      <c r="B57" s="13"/>
      <c r="C57" s="5">
        <f>+I57-E57-G57</f>
        <v>219270802</v>
      </c>
      <c r="E57" s="5">
        <f>18812193+95336067</f>
        <v>114148260</v>
      </c>
      <c r="G57" s="5">
        <v>0</v>
      </c>
      <c r="I57" s="5">
        <v>333419062</v>
      </c>
      <c r="K57" s="5">
        <f>+O57-M57</f>
        <v>15650500</v>
      </c>
      <c r="M57" s="5">
        <f>6111807+34977828</f>
        <v>41089635</v>
      </c>
      <c r="O57" s="5">
        <v>56740135</v>
      </c>
      <c r="Q57" s="5">
        <v>79454452</v>
      </c>
      <c r="S57" s="5">
        <f>292520+36418566</f>
        <v>36711086</v>
      </c>
      <c r="U57" s="5">
        <v>160513389</v>
      </c>
      <c r="W57" s="5">
        <f>+Q57+S57+U57</f>
        <v>276678927</v>
      </c>
      <c r="Y57" s="5">
        <f t="shared" si="0"/>
        <v>0</v>
      </c>
    </row>
    <row r="58" spans="1:25" ht="12">
      <c r="A58" s="13" t="s">
        <v>196</v>
      </c>
      <c r="B58" s="13"/>
      <c r="C58" s="5">
        <f>+I58-E58-G58</f>
        <v>375062000</v>
      </c>
      <c r="E58" s="5">
        <f>32930000+245914000</f>
        <v>278844000</v>
      </c>
      <c r="G58" s="5">
        <v>0</v>
      </c>
      <c r="I58" s="5">
        <v>653906000</v>
      </c>
      <c r="K58" s="5">
        <f>+O58-M58</f>
        <v>70410000</v>
      </c>
      <c r="M58" s="5">
        <f>12324000+99039000</f>
        <v>111363000</v>
      </c>
      <c r="O58" s="5">
        <v>181773000</v>
      </c>
      <c r="Q58" s="5">
        <v>160498000</v>
      </c>
      <c r="S58" s="5">
        <f>W58-U58-Q58</f>
        <v>13461000</v>
      </c>
      <c r="U58" s="5">
        <v>298174000</v>
      </c>
      <c r="W58" s="5">
        <v>472133000</v>
      </c>
      <c r="Y58" s="5">
        <f t="shared" si="0"/>
        <v>0</v>
      </c>
    </row>
    <row r="59" spans="1:25" ht="12" hidden="1">
      <c r="A59" s="13" t="s">
        <v>53</v>
      </c>
      <c r="B59" s="13"/>
      <c r="C59" s="5" t="s">
        <v>189</v>
      </c>
      <c r="E59" s="5" t="s">
        <v>189</v>
      </c>
      <c r="G59" s="5" t="s">
        <v>189</v>
      </c>
      <c r="I59" s="5" t="s">
        <v>189</v>
      </c>
      <c r="J59" s="5" t="s">
        <v>189</v>
      </c>
      <c r="K59" s="5" t="s">
        <v>189</v>
      </c>
      <c r="M59" s="5" t="s">
        <v>189</v>
      </c>
      <c r="O59" s="5" t="s">
        <v>189</v>
      </c>
      <c r="S59" s="5" t="s">
        <v>189</v>
      </c>
      <c r="U59" s="5" t="s">
        <v>189</v>
      </c>
      <c r="W59" s="5" t="s">
        <v>189</v>
      </c>
      <c r="X59" s="5" t="s">
        <v>165</v>
      </c>
      <c r="Y59" s="5" t="e">
        <f t="shared" si="0"/>
        <v>#VALUE!</v>
      </c>
    </row>
    <row r="60" spans="1:25" ht="12">
      <c r="A60" s="13" t="s">
        <v>54</v>
      </c>
      <c r="B60" s="13"/>
      <c r="C60" s="5">
        <f>+I60-E60-G60</f>
        <v>128017519</v>
      </c>
      <c r="E60" s="5">
        <f>4303576+58438967+24015949+59358269-38988816</f>
        <v>107127945</v>
      </c>
      <c r="G60" s="5">
        <v>0</v>
      </c>
      <c r="I60" s="5">
        <v>235145464</v>
      </c>
      <c r="K60" s="5">
        <f>+O60-M60</f>
        <v>46107528</v>
      </c>
      <c r="M60" s="5">
        <v>42182271</v>
      </c>
      <c r="O60" s="5">
        <v>88289799</v>
      </c>
      <c r="Q60" s="5">
        <v>67485934</v>
      </c>
      <c r="S60" s="5">
        <f>W60-U60-Q60</f>
        <v>67071058</v>
      </c>
      <c r="U60" s="5">
        <v>12298673</v>
      </c>
      <c r="W60" s="5">
        <v>146855665</v>
      </c>
      <c r="Y60" s="5">
        <f t="shared" si="0"/>
        <v>0</v>
      </c>
    </row>
    <row r="61" spans="1:25" ht="12" hidden="1">
      <c r="A61" s="13" t="s">
        <v>55</v>
      </c>
      <c r="B61" s="13"/>
      <c r="C61" s="5" t="s">
        <v>189</v>
      </c>
      <c r="E61" s="5" t="s">
        <v>189</v>
      </c>
      <c r="G61" s="5" t="s">
        <v>189</v>
      </c>
      <c r="I61" s="5" t="s">
        <v>189</v>
      </c>
      <c r="K61" s="5" t="s">
        <v>189</v>
      </c>
      <c r="M61" s="5" t="s">
        <v>189</v>
      </c>
      <c r="O61" s="5" t="s">
        <v>189</v>
      </c>
      <c r="Q61" s="5" t="s">
        <v>189</v>
      </c>
      <c r="S61" s="5" t="s">
        <v>189</v>
      </c>
      <c r="U61" s="5" t="s">
        <v>189</v>
      </c>
      <c r="W61" s="5" t="s">
        <v>189</v>
      </c>
      <c r="Y61" s="5" t="e">
        <f t="shared" si="0"/>
        <v>#VALUE!</v>
      </c>
    </row>
    <row r="62" spans="1:25" ht="12">
      <c r="A62" s="13" t="s">
        <v>56</v>
      </c>
      <c r="B62" s="13"/>
      <c r="C62" s="5">
        <f>+I62-E62-G62</f>
        <v>75685326</v>
      </c>
      <c r="E62" s="5">
        <f>3365689+66132941</f>
        <v>69498630</v>
      </c>
      <c r="G62" s="5">
        <v>39000</v>
      </c>
      <c r="I62" s="5">
        <v>145222956</v>
      </c>
      <c r="K62" s="5">
        <f>+O62-M62</f>
        <v>26677666</v>
      </c>
      <c r="M62" s="5">
        <f>2322491+20394737</f>
        <v>22717228</v>
      </c>
      <c r="O62" s="5">
        <v>49394894</v>
      </c>
      <c r="Q62" s="5">
        <v>54680517</v>
      </c>
      <c r="S62" s="5">
        <f>W62-U62-Q62</f>
        <v>29959181</v>
      </c>
      <c r="U62" s="5">
        <v>11188364</v>
      </c>
      <c r="W62" s="5">
        <v>95828062</v>
      </c>
      <c r="Y62" s="5">
        <f t="shared" si="0"/>
        <v>0</v>
      </c>
    </row>
    <row r="63" spans="1:25" ht="12" hidden="1">
      <c r="A63" s="13" t="s">
        <v>173</v>
      </c>
      <c r="B63" s="13"/>
      <c r="C63" s="5" t="s">
        <v>189</v>
      </c>
      <c r="E63" s="5" t="s">
        <v>189</v>
      </c>
      <c r="G63" s="5" t="s">
        <v>189</v>
      </c>
      <c r="I63" s="5" t="s">
        <v>189</v>
      </c>
      <c r="K63" s="5" t="s">
        <v>189</v>
      </c>
      <c r="M63" s="5" t="s">
        <v>189</v>
      </c>
      <c r="O63" s="5" t="s">
        <v>189</v>
      </c>
      <c r="Q63" s="5" t="s">
        <v>189</v>
      </c>
      <c r="S63" s="5" t="s">
        <v>189</v>
      </c>
      <c r="U63" s="5" t="s">
        <v>189</v>
      </c>
      <c r="W63" s="5" t="s">
        <v>189</v>
      </c>
      <c r="Y63" s="5" t="e">
        <f t="shared" si="0"/>
        <v>#VALUE!</v>
      </c>
    </row>
    <row r="64" spans="1:25" ht="12" hidden="1">
      <c r="A64" s="13" t="s">
        <v>57</v>
      </c>
      <c r="B64" s="13"/>
      <c r="C64" s="5" t="s">
        <v>189</v>
      </c>
      <c r="E64" s="5" t="s">
        <v>189</v>
      </c>
      <c r="G64" s="5" t="s">
        <v>189</v>
      </c>
      <c r="I64" s="5" t="s">
        <v>189</v>
      </c>
      <c r="J64" s="5" t="s">
        <v>189</v>
      </c>
      <c r="K64" s="5" t="s">
        <v>189</v>
      </c>
      <c r="M64" s="5" t="s">
        <v>189</v>
      </c>
      <c r="O64" s="5" t="s">
        <v>189</v>
      </c>
      <c r="S64" s="5" t="s">
        <v>189</v>
      </c>
      <c r="U64" s="5" t="s">
        <v>189</v>
      </c>
      <c r="W64" s="5" t="s">
        <v>189</v>
      </c>
      <c r="X64" s="5" t="s">
        <v>165</v>
      </c>
      <c r="Y64" s="5" t="e">
        <f t="shared" si="0"/>
        <v>#VALUE!</v>
      </c>
    </row>
    <row r="65" spans="1:25" ht="12" hidden="1">
      <c r="A65" s="13" t="s">
        <v>58</v>
      </c>
      <c r="B65" s="13"/>
      <c r="C65" s="5" t="s">
        <v>189</v>
      </c>
      <c r="E65" s="5" t="s">
        <v>189</v>
      </c>
      <c r="G65" s="5" t="s">
        <v>189</v>
      </c>
      <c r="I65" s="5" t="s">
        <v>189</v>
      </c>
      <c r="K65" s="5" t="s">
        <v>189</v>
      </c>
      <c r="M65" s="5" t="s">
        <v>189</v>
      </c>
      <c r="O65" s="5" t="s">
        <v>189</v>
      </c>
      <c r="Q65" s="5" t="s">
        <v>189</v>
      </c>
      <c r="S65" s="5" t="s">
        <v>189</v>
      </c>
      <c r="U65" s="5" t="s">
        <v>189</v>
      </c>
      <c r="W65" s="5" t="s">
        <v>189</v>
      </c>
      <c r="Y65" s="5" t="e">
        <f t="shared" si="0"/>
        <v>#VALUE!</v>
      </c>
    </row>
    <row r="66" spans="1:25" ht="12" hidden="1">
      <c r="A66" s="13" t="s">
        <v>59</v>
      </c>
      <c r="B66" s="13"/>
      <c r="C66" s="5">
        <f>+I66-E66-G66</f>
        <v>0</v>
      </c>
      <c r="K66" s="5">
        <f>+O66-M66</f>
        <v>0</v>
      </c>
      <c r="S66" s="5">
        <f>W66-U66-Q66</f>
        <v>0</v>
      </c>
      <c r="Y66" s="5">
        <f t="shared" si="0"/>
        <v>0</v>
      </c>
    </row>
    <row r="67" spans="1:25" ht="12">
      <c r="A67" s="13" t="s">
        <v>60</v>
      </c>
      <c r="B67" s="13"/>
      <c r="C67" s="5">
        <f>+I67-E67-G67</f>
        <v>499997046</v>
      </c>
      <c r="E67" s="5">
        <f>334287550+113676509</f>
        <v>447964059</v>
      </c>
      <c r="G67" s="5">
        <v>0</v>
      </c>
      <c r="I67" s="5">
        <v>947961105</v>
      </c>
      <c r="K67" s="5">
        <f>+O67-M67</f>
        <v>154539345</v>
      </c>
      <c r="M67" s="5">
        <f>9170635+51317041</f>
        <v>60487676</v>
      </c>
      <c r="O67" s="5">
        <v>215027021</v>
      </c>
      <c r="Q67" s="5">
        <v>407378685</v>
      </c>
      <c r="S67" s="5">
        <f>W67-U67-Q67</f>
        <v>164410827</v>
      </c>
      <c r="U67" s="5">
        <v>161144572</v>
      </c>
      <c r="W67" s="5">
        <v>732934084</v>
      </c>
      <c r="Y67" s="5">
        <f t="shared" si="0"/>
        <v>0</v>
      </c>
    </row>
    <row r="68" spans="1:25" ht="12" hidden="1">
      <c r="A68" s="13" t="s">
        <v>61</v>
      </c>
      <c r="B68" s="13"/>
      <c r="C68" s="5" t="s">
        <v>189</v>
      </c>
      <c r="E68" s="5" t="s">
        <v>189</v>
      </c>
      <c r="G68" s="5" t="s">
        <v>189</v>
      </c>
      <c r="I68" s="5" t="s">
        <v>189</v>
      </c>
      <c r="K68" s="5" t="s">
        <v>189</v>
      </c>
      <c r="M68" s="5" t="s">
        <v>189</v>
      </c>
      <c r="O68" s="5" t="s">
        <v>189</v>
      </c>
      <c r="Q68" s="5" t="s">
        <v>189</v>
      </c>
      <c r="S68" s="5" t="s">
        <v>189</v>
      </c>
      <c r="U68" s="5" t="s">
        <v>189</v>
      </c>
      <c r="W68" s="5" t="s">
        <v>189</v>
      </c>
      <c r="Y68" s="5" t="e">
        <f t="shared" si="0"/>
        <v>#VALUE!</v>
      </c>
    </row>
    <row r="69" spans="1:25" ht="12" hidden="1">
      <c r="A69" s="13" t="s">
        <v>62</v>
      </c>
      <c r="B69" s="13"/>
      <c r="C69" s="5" t="s">
        <v>189</v>
      </c>
      <c r="E69" s="5" t="s">
        <v>189</v>
      </c>
      <c r="G69" s="5" t="s">
        <v>189</v>
      </c>
      <c r="I69" s="5" t="s">
        <v>189</v>
      </c>
      <c r="K69" s="5" t="s">
        <v>189</v>
      </c>
      <c r="M69" s="5" t="s">
        <v>189</v>
      </c>
      <c r="O69" s="5" t="s">
        <v>189</v>
      </c>
      <c r="Q69" s="5" t="s">
        <v>189</v>
      </c>
      <c r="S69" s="5" t="s">
        <v>189</v>
      </c>
      <c r="U69" s="5" t="s">
        <v>189</v>
      </c>
      <c r="W69" s="5" t="s">
        <v>189</v>
      </c>
      <c r="Y69" s="5" t="e">
        <f t="shared" si="0"/>
        <v>#VALUE!</v>
      </c>
    </row>
    <row r="70" spans="1:25" ht="12" hidden="1">
      <c r="A70" s="13" t="s">
        <v>63</v>
      </c>
      <c r="B70" s="13"/>
      <c r="C70" s="5" t="s">
        <v>189</v>
      </c>
      <c r="E70" s="5" t="s">
        <v>189</v>
      </c>
      <c r="G70" s="5" t="s">
        <v>189</v>
      </c>
      <c r="I70" s="5" t="s">
        <v>189</v>
      </c>
      <c r="K70" s="5" t="s">
        <v>189</v>
      </c>
      <c r="M70" s="5" t="s">
        <v>189</v>
      </c>
      <c r="O70" s="5" t="s">
        <v>189</v>
      </c>
      <c r="Q70" s="5" t="s">
        <v>189</v>
      </c>
      <c r="S70" s="5" t="s">
        <v>189</v>
      </c>
      <c r="U70" s="5" t="s">
        <v>189</v>
      </c>
      <c r="W70" s="5" t="s">
        <v>189</v>
      </c>
      <c r="Y70" s="5" t="e">
        <f t="shared" si="0"/>
        <v>#VALUE!</v>
      </c>
    </row>
    <row r="71" spans="1:25" ht="12">
      <c r="A71" s="13" t="s">
        <v>64</v>
      </c>
      <c r="B71" s="13"/>
      <c r="C71" s="5">
        <f>+I71-E71-G71</f>
        <v>7089763</v>
      </c>
      <c r="E71" s="5">
        <f>687086+19841198</f>
        <v>20528284</v>
      </c>
      <c r="G71" s="5">
        <v>0</v>
      </c>
      <c r="I71" s="5">
        <v>27618047</v>
      </c>
      <c r="K71" s="5">
        <f>+O71-M71</f>
        <v>1935089</v>
      </c>
      <c r="M71" s="5">
        <f>294709+1324484</f>
        <v>1619193</v>
      </c>
      <c r="O71" s="5">
        <v>3554282</v>
      </c>
      <c r="Q71" s="5">
        <v>19228284</v>
      </c>
      <c r="S71" s="5">
        <f>W71-U71-Q71</f>
        <v>4271776</v>
      </c>
      <c r="U71" s="5">
        <v>563705</v>
      </c>
      <c r="W71" s="5">
        <v>24063765</v>
      </c>
      <c r="Y71" s="5">
        <f t="shared" si="0"/>
        <v>0</v>
      </c>
    </row>
    <row r="72" spans="1:25" ht="12" hidden="1">
      <c r="A72" s="13" t="s">
        <v>65</v>
      </c>
      <c r="B72" s="13"/>
      <c r="C72" s="5" t="s">
        <v>189</v>
      </c>
      <c r="E72" s="5" t="s">
        <v>189</v>
      </c>
      <c r="G72" s="5" t="s">
        <v>189</v>
      </c>
      <c r="I72" s="5" t="s">
        <v>189</v>
      </c>
      <c r="K72" s="5" t="s">
        <v>189</v>
      </c>
      <c r="M72" s="5" t="s">
        <v>189</v>
      </c>
      <c r="O72" s="5" t="s">
        <v>189</v>
      </c>
      <c r="Q72" s="5" t="s">
        <v>189</v>
      </c>
      <c r="S72" s="5" t="s">
        <v>189</v>
      </c>
      <c r="U72" s="5" t="s">
        <v>189</v>
      </c>
      <c r="W72" s="5" t="s">
        <v>189</v>
      </c>
      <c r="Y72" s="5" t="e">
        <f t="shared" si="0"/>
        <v>#VALUE!</v>
      </c>
    </row>
    <row r="73" spans="1:25" ht="12" hidden="1">
      <c r="A73" s="13" t="s">
        <v>134</v>
      </c>
      <c r="B73" s="13"/>
      <c r="C73" s="5" t="s">
        <v>189</v>
      </c>
      <c r="E73" s="5" t="s">
        <v>189</v>
      </c>
      <c r="G73" s="5" t="s">
        <v>189</v>
      </c>
      <c r="I73" s="5" t="s">
        <v>189</v>
      </c>
      <c r="K73" s="5" t="s">
        <v>189</v>
      </c>
      <c r="M73" s="5" t="s">
        <v>189</v>
      </c>
      <c r="O73" s="5" t="s">
        <v>189</v>
      </c>
      <c r="Q73" s="5" t="s">
        <v>189</v>
      </c>
      <c r="S73" s="5" t="s">
        <v>189</v>
      </c>
      <c r="U73" s="5" t="s">
        <v>189</v>
      </c>
      <c r="W73" s="5" t="s">
        <v>189</v>
      </c>
      <c r="Y73" s="5" t="e">
        <f t="shared" si="0"/>
        <v>#VALUE!</v>
      </c>
    </row>
    <row r="74" spans="1:25" ht="12" hidden="1">
      <c r="A74" s="13" t="s">
        <v>66</v>
      </c>
      <c r="B74" s="13"/>
      <c r="C74" s="5" t="s">
        <v>189</v>
      </c>
      <c r="E74" s="5" t="s">
        <v>189</v>
      </c>
      <c r="G74" s="5" t="s">
        <v>189</v>
      </c>
      <c r="I74" s="5" t="s">
        <v>189</v>
      </c>
      <c r="K74" s="5" t="s">
        <v>189</v>
      </c>
      <c r="M74" s="5" t="s">
        <v>189</v>
      </c>
      <c r="O74" s="5" t="s">
        <v>189</v>
      </c>
      <c r="Q74" s="5" t="s">
        <v>189</v>
      </c>
      <c r="S74" s="5" t="s">
        <v>189</v>
      </c>
      <c r="U74" s="5" t="s">
        <v>189</v>
      </c>
      <c r="W74" s="5" t="s">
        <v>189</v>
      </c>
      <c r="Y74" s="5" t="e">
        <f t="shared" si="0"/>
        <v>#VALUE!</v>
      </c>
    </row>
    <row r="75" spans="1:25" s="90" customFormat="1" ht="12">
      <c r="A75" s="54" t="s">
        <v>200</v>
      </c>
      <c r="B75" s="54"/>
      <c r="C75" s="55">
        <f>+I75-E75-G75</f>
        <v>18996277</v>
      </c>
      <c r="D75" s="55"/>
      <c r="E75" s="55">
        <f>902042+25276133</f>
        <v>26178175</v>
      </c>
      <c r="F75" s="55"/>
      <c r="G75" s="55">
        <v>0</v>
      </c>
      <c r="H75" s="55"/>
      <c r="I75" s="55">
        <v>45174452</v>
      </c>
      <c r="J75" s="55"/>
      <c r="K75" s="55">
        <f>+O75-M75</f>
        <v>6741233</v>
      </c>
      <c r="L75" s="55"/>
      <c r="M75" s="55">
        <f>1045806+2497660</f>
        <v>3543466</v>
      </c>
      <c r="N75" s="55"/>
      <c r="O75" s="55">
        <v>10284699</v>
      </c>
      <c r="P75" s="55"/>
      <c r="Q75" s="55">
        <v>25285261</v>
      </c>
      <c r="R75" s="55"/>
      <c r="S75" s="55">
        <f>W75-U75-Q75</f>
        <v>7513718</v>
      </c>
      <c r="T75" s="55"/>
      <c r="U75" s="55">
        <v>2090774</v>
      </c>
      <c r="V75" s="55"/>
      <c r="W75" s="55">
        <f>34889753</f>
        <v>34889753</v>
      </c>
      <c r="X75" s="55"/>
      <c r="Y75" s="55">
        <f t="shared" si="0"/>
        <v>0</v>
      </c>
    </row>
    <row r="76" spans="1:25" s="90" customFormat="1" ht="12" hidden="1">
      <c r="A76" s="54" t="s">
        <v>68</v>
      </c>
      <c r="B76" s="54"/>
      <c r="C76" s="55" t="s">
        <v>189</v>
      </c>
      <c r="D76" s="55"/>
      <c r="E76" s="55" t="s">
        <v>189</v>
      </c>
      <c r="F76" s="55"/>
      <c r="G76" s="55" t="s">
        <v>189</v>
      </c>
      <c r="H76" s="55"/>
      <c r="I76" s="55" t="s">
        <v>189</v>
      </c>
      <c r="J76" s="55"/>
      <c r="K76" s="55" t="s">
        <v>189</v>
      </c>
      <c r="L76" s="55"/>
      <c r="M76" s="55" t="s">
        <v>189</v>
      </c>
      <c r="N76" s="55"/>
      <c r="O76" s="55" t="s">
        <v>189</v>
      </c>
      <c r="P76" s="55"/>
      <c r="Q76" s="55" t="s">
        <v>189</v>
      </c>
      <c r="R76" s="55"/>
      <c r="S76" s="55" t="s">
        <v>189</v>
      </c>
      <c r="T76" s="55"/>
      <c r="U76" s="55" t="s">
        <v>189</v>
      </c>
      <c r="V76" s="55"/>
      <c r="W76" s="55" t="s">
        <v>189</v>
      </c>
      <c r="X76" s="55"/>
      <c r="Y76" s="55" t="e">
        <f t="shared" si="0"/>
        <v>#VALUE!</v>
      </c>
    </row>
    <row r="77" spans="1:25" s="90" customFormat="1" ht="12">
      <c r="A77" s="54" t="s">
        <v>69</v>
      </c>
      <c r="B77" s="54"/>
      <c r="C77" s="55">
        <f>+I77-E77-G77</f>
        <v>95704192</v>
      </c>
      <c r="D77" s="55"/>
      <c r="E77" s="55">
        <f>3917690+85260044</f>
        <v>89177734</v>
      </c>
      <c r="F77" s="55"/>
      <c r="G77" s="55">
        <v>0</v>
      </c>
      <c r="H77" s="55"/>
      <c r="I77" s="55">
        <v>184881926</v>
      </c>
      <c r="J77" s="55"/>
      <c r="K77" s="55">
        <f>+O77-M77</f>
        <v>34165985</v>
      </c>
      <c r="L77" s="55"/>
      <c r="M77" s="55">
        <f>1839244+21540715</f>
        <v>23379959</v>
      </c>
      <c r="N77" s="55"/>
      <c r="O77" s="55">
        <v>57545944</v>
      </c>
      <c r="P77" s="55"/>
      <c r="Q77" s="55">
        <v>70538590</v>
      </c>
      <c r="R77" s="55"/>
      <c r="S77" s="55">
        <f>W77-U77-Q77</f>
        <v>37509816</v>
      </c>
      <c r="T77" s="55"/>
      <c r="U77" s="55">
        <v>19287576</v>
      </c>
      <c r="V77" s="55"/>
      <c r="W77" s="55">
        <v>127335982</v>
      </c>
      <c r="X77" s="55"/>
      <c r="Y77" s="55">
        <f t="shared" si="0"/>
        <v>0</v>
      </c>
    </row>
    <row r="78" spans="1:25" ht="12" hidden="1">
      <c r="A78" s="13" t="s">
        <v>70</v>
      </c>
      <c r="B78" s="13"/>
      <c r="C78" s="5" t="s">
        <v>189</v>
      </c>
      <c r="E78" s="5" t="s">
        <v>189</v>
      </c>
      <c r="G78" s="5" t="s">
        <v>189</v>
      </c>
      <c r="I78" s="5" t="s">
        <v>189</v>
      </c>
      <c r="K78" s="5" t="s">
        <v>189</v>
      </c>
      <c r="M78" s="5" t="s">
        <v>189</v>
      </c>
      <c r="O78" s="5" t="s">
        <v>189</v>
      </c>
      <c r="Q78" s="5" t="s">
        <v>189</v>
      </c>
      <c r="S78" s="5" t="s">
        <v>189</v>
      </c>
      <c r="U78" s="5" t="s">
        <v>189</v>
      </c>
      <c r="W78" s="5" t="s">
        <v>189</v>
      </c>
      <c r="Y78" s="5" t="e">
        <f t="shared" si="0"/>
        <v>#VALUE!</v>
      </c>
    </row>
    <row r="79" spans="1:25" ht="12" hidden="1">
      <c r="A79" s="13" t="s">
        <v>186</v>
      </c>
      <c r="B79" s="13"/>
      <c r="C79" s="5" t="s">
        <v>189</v>
      </c>
      <c r="E79" s="5" t="s">
        <v>189</v>
      </c>
      <c r="G79" s="5" t="s">
        <v>189</v>
      </c>
      <c r="I79" s="5" t="s">
        <v>189</v>
      </c>
      <c r="K79" s="5" t="s">
        <v>189</v>
      </c>
      <c r="M79" s="5" t="s">
        <v>189</v>
      </c>
      <c r="O79" s="5" t="s">
        <v>189</v>
      </c>
      <c r="Q79" s="5" t="s">
        <v>189</v>
      </c>
      <c r="S79" s="5" t="s">
        <v>189</v>
      </c>
      <c r="U79" s="5" t="s">
        <v>189</v>
      </c>
      <c r="W79" s="5" t="s">
        <v>189</v>
      </c>
      <c r="Y79" s="5" t="e">
        <f t="shared" si="0"/>
        <v>#VALUE!</v>
      </c>
    </row>
    <row r="80" spans="1:25" ht="12">
      <c r="A80" s="13" t="s">
        <v>191</v>
      </c>
      <c r="B80" s="13"/>
      <c r="C80" s="5">
        <f>+I80-E80-G80</f>
        <v>84460259</v>
      </c>
      <c r="E80" s="5">
        <f>5649117+67872686</f>
        <v>73521803</v>
      </c>
      <c r="G80" s="5">
        <v>71754</v>
      </c>
      <c r="I80" s="5">
        <v>158053816</v>
      </c>
      <c r="K80" s="5">
        <f>+O80-M80</f>
        <v>31378571</v>
      </c>
      <c r="M80" s="5">
        <f>3118927+22094979</f>
        <v>25213906</v>
      </c>
      <c r="O80" s="5">
        <v>56592477</v>
      </c>
      <c r="Q80" s="5">
        <v>43170347</v>
      </c>
      <c r="S80" s="5">
        <f>W80-U80-Q80</f>
        <v>36892501</v>
      </c>
      <c r="U80" s="5">
        <v>21398491</v>
      </c>
      <c r="W80" s="5">
        <v>101461339</v>
      </c>
      <c r="Y80" s="5">
        <f t="shared" si="0"/>
        <v>0</v>
      </c>
    </row>
    <row r="81" spans="1:25" ht="12">
      <c r="A81" s="13" t="s">
        <v>71</v>
      </c>
      <c r="B81" s="13"/>
      <c r="C81" s="5">
        <f>+I81-E81-G81</f>
        <v>20677055</v>
      </c>
      <c r="E81" s="5">
        <f>3917332+36167905</f>
        <v>40085237</v>
      </c>
      <c r="G81" s="5">
        <v>0</v>
      </c>
      <c r="I81" s="5">
        <v>60762292</v>
      </c>
      <c r="K81" s="5">
        <f>+O81-M81</f>
        <v>14711598</v>
      </c>
      <c r="M81" s="5">
        <f>1917904+7463042</f>
        <v>9380946</v>
      </c>
      <c r="O81" s="5">
        <v>24092544</v>
      </c>
      <c r="Q81" s="5">
        <v>29852993</v>
      </c>
      <c r="S81" s="5">
        <f>W81-U81-Q81</f>
        <v>5867386</v>
      </c>
      <c r="U81" s="5">
        <v>949369</v>
      </c>
      <c r="W81" s="5">
        <v>36669748</v>
      </c>
      <c r="Y81" s="5">
        <f t="shared" si="0"/>
        <v>0</v>
      </c>
    </row>
    <row r="82" spans="1:25" ht="12" hidden="1">
      <c r="A82" s="13" t="s">
        <v>72</v>
      </c>
      <c r="B82" s="13"/>
      <c r="C82" s="5" t="s">
        <v>189</v>
      </c>
      <c r="E82" s="5" t="s">
        <v>189</v>
      </c>
      <c r="G82" s="5" t="s">
        <v>189</v>
      </c>
      <c r="I82" s="5" t="s">
        <v>189</v>
      </c>
      <c r="K82" s="5" t="s">
        <v>189</v>
      </c>
      <c r="M82" s="5" t="s">
        <v>189</v>
      </c>
      <c r="O82" s="5" t="s">
        <v>189</v>
      </c>
      <c r="Q82" s="5" t="s">
        <v>189</v>
      </c>
      <c r="S82" s="5" t="s">
        <v>189</v>
      </c>
      <c r="U82" s="5" t="s">
        <v>189</v>
      </c>
      <c r="W82" s="5" t="s">
        <v>189</v>
      </c>
      <c r="Y82" s="5" t="e">
        <f t="shared" si="0"/>
        <v>#VALUE!</v>
      </c>
    </row>
    <row r="83" spans="1:25" ht="12" hidden="1">
      <c r="A83" s="13" t="s">
        <v>73</v>
      </c>
      <c r="B83" s="13"/>
      <c r="C83" s="5" t="s">
        <v>189</v>
      </c>
      <c r="E83" s="5" t="s">
        <v>189</v>
      </c>
      <c r="G83" s="5" t="s">
        <v>189</v>
      </c>
      <c r="I83" s="5" t="s">
        <v>189</v>
      </c>
      <c r="K83" s="5" t="s">
        <v>189</v>
      </c>
      <c r="M83" s="5" t="s">
        <v>189</v>
      </c>
      <c r="O83" s="5" t="s">
        <v>189</v>
      </c>
      <c r="Q83" s="5" t="s">
        <v>189</v>
      </c>
      <c r="S83" s="5" t="s">
        <v>189</v>
      </c>
      <c r="U83" s="5" t="s">
        <v>189</v>
      </c>
      <c r="W83" s="5" t="s">
        <v>189</v>
      </c>
      <c r="Y83" s="5" t="e">
        <f t="shared" si="0"/>
        <v>#VALUE!</v>
      </c>
    </row>
    <row r="84" spans="1:25" ht="12" hidden="1">
      <c r="A84" s="13" t="s">
        <v>74</v>
      </c>
      <c r="B84" s="13"/>
      <c r="C84" s="5" t="s">
        <v>189</v>
      </c>
      <c r="E84" s="5" t="s">
        <v>189</v>
      </c>
      <c r="G84" s="5" t="s">
        <v>189</v>
      </c>
      <c r="I84" s="5" t="s">
        <v>189</v>
      </c>
      <c r="K84" s="5" t="s">
        <v>189</v>
      </c>
      <c r="M84" s="5" t="s">
        <v>189</v>
      </c>
      <c r="O84" s="5" t="s">
        <v>189</v>
      </c>
      <c r="Q84" s="5" t="s">
        <v>189</v>
      </c>
      <c r="S84" s="5" t="s">
        <v>189</v>
      </c>
      <c r="U84" s="5" t="s">
        <v>189</v>
      </c>
      <c r="W84" s="5" t="s">
        <v>189</v>
      </c>
      <c r="Y84" s="5" t="e">
        <f aca="true" t="shared" si="6" ref="Y84:Y97">I84-O84-W84</f>
        <v>#VALUE!</v>
      </c>
    </row>
    <row r="85" spans="1:25" ht="12" hidden="1">
      <c r="A85" s="13" t="s">
        <v>75</v>
      </c>
      <c r="B85" s="13"/>
      <c r="C85" s="5" t="s">
        <v>189</v>
      </c>
      <c r="E85" s="5" t="s">
        <v>189</v>
      </c>
      <c r="G85" s="5" t="s">
        <v>189</v>
      </c>
      <c r="I85" s="5" t="s">
        <v>189</v>
      </c>
      <c r="K85" s="5" t="s">
        <v>189</v>
      </c>
      <c r="M85" s="5" t="s">
        <v>189</v>
      </c>
      <c r="O85" s="5" t="s">
        <v>189</v>
      </c>
      <c r="Q85" s="5" t="s">
        <v>189</v>
      </c>
      <c r="S85" s="5" t="s">
        <v>189</v>
      </c>
      <c r="U85" s="5" t="s">
        <v>189</v>
      </c>
      <c r="W85" s="5" t="s">
        <v>189</v>
      </c>
      <c r="Y85" s="5" t="e">
        <f t="shared" si="6"/>
        <v>#VALUE!</v>
      </c>
    </row>
    <row r="86" spans="1:25" ht="12">
      <c r="A86" s="13" t="s">
        <v>76</v>
      </c>
      <c r="B86" s="13"/>
      <c r="C86" s="5">
        <f>+I86-E86-G86</f>
        <v>182844344</v>
      </c>
      <c r="E86" s="5">
        <f>18455440+31049591</f>
        <v>49505031</v>
      </c>
      <c r="G86" s="5">
        <v>0</v>
      </c>
      <c r="I86" s="5">
        <v>232349375</v>
      </c>
      <c r="K86" s="5">
        <f>+O86-M86</f>
        <v>62340143</v>
      </c>
      <c r="M86" s="5">
        <f>4388754+5524565</f>
        <v>9913319</v>
      </c>
      <c r="O86" s="5">
        <v>72253462</v>
      </c>
      <c r="Q86" s="5">
        <v>49347662</v>
      </c>
      <c r="S86" s="5">
        <f>W86-U86-Q86</f>
        <v>80408175</v>
      </c>
      <c r="U86" s="5">
        <v>30340076</v>
      </c>
      <c r="W86" s="5">
        <v>160095913</v>
      </c>
      <c r="Y86" s="5">
        <f t="shared" si="6"/>
        <v>0</v>
      </c>
    </row>
    <row r="87" spans="1:25" ht="12">
      <c r="A87" s="13" t="s">
        <v>77</v>
      </c>
      <c r="B87" s="13"/>
      <c r="C87" s="5">
        <f>+I87-E87-G87</f>
        <v>421389281</v>
      </c>
      <c r="E87" s="5">
        <f>17815149+181264937</f>
        <v>199080086</v>
      </c>
      <c r="G87" s="5">
        <v>363440</v>
      </c>
      <c r="I87" s="5">
        <v>620832807</v>
      </c>
      <c r="K87" s="5">
        <f>+O87-M87</f>
        <v>146265203</v>
      </c>
      <c r="M87" s="5">
        <f>13889486+104892722</f>
        <v>118782208</v>
      </c>
      <c r="O87" s="5">
        <v>265047411</v>
      </c>
      <c r="Q87" s="5">
        <v>154178082</v>
      </c>
      <c r="S87" s="5">
        <f>W87-U87-Q87</f>
        <v>133432684</v>
      </c>
      <c r="U87" s="5">
        <v>68174630</v>
      </c>
      <c r="W87" s="5">
        <v>355785396</v>
      </c>
      <c r="Y87" s="5">
        <f t="shared" si="6"/>
        <v>0</v>
      </c>
    </row>
    <row r="88" spans="1:25" ht="12">
      <c r="A88" s="13" t="s">
        <v>78</v>
      </c>
      <c r="B88" s="13"/>
      <c r="C88" s="5">
        <f>+I88-E88-G88</f>
        <v>109423502</v>
      </c>
      <c r="E88" s="5">
        <f>2863838+60693515</f>
        <v>63557353</v>
      </c>
      <c r="G88" s="5">
        <v>0</v>
      </c>
      <c r="I88" s="5">
        <v>172980855</v>
      </c>
      <c r="K88" s="5">
        <f>+O88-M88</f>
        <v>35361210</v>
      </c>
      <c r="M88" s="5">
        <f>3518099+33912057</f>
        <v>37430156</v>
      </c>
      <c r="O88" s="5">
        <v>72791366</v>
      </c>
      <c r="Q88" s="5">
        <v>38325113</v>
      </c>
      <c r="S88" s="5">
        <f>W88-U88-Q88</f>
        <v>53808943</v>
      </c>
      <c r="U88" s="5">
        <v>8055433</v>
      </c>
      <c r="W88" s="5">
        <v>100189489</v>
      </c>
      <c r="Y88" s="5">
        <f t="shared" si="6"/>
        <v>0</v>
      </c>
    </row>
    <row r="89" spans="1:25" ht="12">
      <c r="A89" s="13" t="s">
        <v>79</v>
      </c>
      <c r="B89" s="13"/>
      <c r="C89" s="5">
        <f>+I89-E89-G89</f>
        <v>67758244</v>
      </c>
      <c r="E89" s="5">
        <f>1591404+27622257</f>
        <v>29213661</v>
      </c>
      <c r="G89" s="5">
        <v>0</v>
      </c>
      <c r="I89" s="5">
        <v>96971905</v>
      </c>
      <c r="K89" s="5">
        <f>+O89-M89</f>
        <v>11437897</v>
      </c>
      <c r="M89" s="5">
        <f>1002571+471573</f>
        <v>1474144</v>
      </c>
      <c r="O89" s="5">
        <v>12912041</v>
      </c>
      <c r="Q89" s="5">
        <v>29028751</v>
      </c>
      <c r="S89" s="5">
        <f>W89-U89-Q89</f>
        <v>36600023</v>
      </c>
      <c r="U89" s="5">
        <v>18431090</v>
      </c>
      <c r="W89" s="5">
        <v>84059864</v>
      </c>
      <c r="Y89" s="5">
        <f t="shared" si="6"/>
        <v>0</v>
      </c>
    </row>
    <row r="90" spans="1:25" ht="12" hidden="1">
      <c r="A90" s="13" t="s">
        <v>80</v>
      </c>
      <c r="B90" s="13"/>
      <c r="C90" s="5" t="s">
        <v>189</v>
      </c>
      <c r="E90" s="5" t="s">
        <v>189</v>
      </c>
      <c r="G90" s="5" t="s">
        <v>189</v>
      </c>
      <c r="I90" s="5" t="s">
        <v>189</v>
      </c>
      <c r="K90" s="5" t="s">
        <v>189</v>
      </c>
      <c r="M90" s="5" t="s">
        <v>189</v>
      </c>
      <c r="O90" s="5" t="s">
        <v>189</v>
      </c>
      <c r="Q90" s="5" t="s">
        <v>189</v>
      </c>
      <c r="S90" s="5" t="s">
        <v>189</v>
      </c>
      <c r="U90" s="5" t="s">
        <v>189</v>
      </c>
      <c r="W90" s="5" t="s">
        <v>189</v>
      </c>
      <c r="Y90" s="5" t="e">
        <f t="shared" si="6"/>
        <v>#VALUE!</v>
      </c>
    </row>
    <row r="91" spans="1:25" ht="12" hidden="1">
      <c r="A91" s="13" t="s">
        <v>81</v>
      </c>
      <c r="B91" s="13"/>
      <c r="C91" s="5" t="s">
        <v>189</v>
      </c>
      <c r="E91" s="5" t="s">
        <v>189</v>
      </c>
      <c r="G91" s="5" t="s">
        <v>189</v>
      </c>
      <c r="I91" s="5" t="s">
        <v>189</v>
      </c>
      <c r="K91" s="5" t="s">
        <v>189</v>
      </c>
      <c r="M91" s="5" t="s">
        <v>189</v>
      </c>
      <c r="O91" s="5" t="s">
        <v>189</v>
      </c>
      <c r="Q91" s="5" t="s">
        <v>189</v>
      </c>
      <c r="S91" s="5" t="s">
        <v>189</v>
      </c>
      <c r="U91" s="5" t="s">
        <v>189</v>
      </c>
      <c r="W91" s="5" t="s">
        <v>189</v>
      </c>
      <c r="Y91" s="5" t="e">
        <f t="shared" si="6"/>
        <v>#VALUE!</v>
      </c>
    </row>
    <row r="92" spans="1:25" ht="12" hidden="1">
      <c r="A92" s="13" t="s">
        <v>82</v>
      </c>
      <c r="B92" s="13"/>
      <c r="C92" s="5" t="s">
        <v>189</v>
      </c>
      <c r="E92" s="5" t="s">
        <v>189</v>
      </c>
      <c r="G92" s="5" t="s">
        <v>189</v>
      </c>
      <c r="I92" s="5" t="s">
        <v>189</v>
      </c>
      <c r="K92" s="5" t="s">
        <v>189</v>
      </c>
      <c r="M92" s="5" t="s">
        <v>189</v>
      </c>
      <c r="O92" s="5" t="s">
        <v>189</v>
      </c>
      <c r="Q92" s="5" t="s">
        <v>189</v>
      </c>
      <c r="S92" s="5" t="s">
        <v>189</v>
      </c>
      <c r="U92" s="5" t="s">
        <v>189</v>
      </c>
      <c r="W92" s="5" t="s">
        <v>189</v>
      </c>
      <c r="Y92" s="5" t="e">
        <f t="shared" si="6"/>
        <v>#VALUE!</v>
      </c>
    </row>
    <row r="93" spans="1:25" ht="12" hidden="1">
      <c r="A93" s="13" t="s">
        <v>83</v>
      </c>
      <c r="B93" s="13"/>
      <c r="C93" s="5" t="s">
        <v>189</v>
      </c>
      <c r="E93" s="5" t="s">
        <v>189</v>
      </c>
      <c r="G93" s="5" t="s">
        <v>189</v>
      </c>
      <c r="I93" s="5" t="s">
        <v>189</v>
      </c>
      <c r="K93" s="5" t="s">
        <v>189</v>
      </c>
      <c r="M93" s="5" t="s">
        <v>189</v>
      </c>
      <c r="O93" s="5" t="s">
        <v>189</v>
      </c>
      <c r="Q93" s="5" t="s">
        <v>189</v>
      </c>
      <c r="S93" s="5" t="s">
        <v>189</v>
      </c>
      <c r="U93" s="5" t="s">
        <v>189</v>
      </c>
      <c r="W93" s="5" t="s">
        <v>189</v>
      </c>
      <c r="Y93" s="5" t="e">
        <f t="shared" si="6"/>
        <v>#VALUE!</v>
      </c>
    </row>
    <row r="94" spans="1:25" ht="12" hidden="1">
      <c r="A94" s="13" t="s">
        <v>84</v>
      </c>
      <c r="B94" s="13"/>
      <c r="C94" s="5" t="s">
        <v>189</v>
      </c>
      <c r="E94" s="5" t="s">
        <v>189</v>
      </c>
      <c r="G94" s="5" t="s">
        <v>189</v>
      </c>
      <c r="I94" s="5" t="s">
        <v>189</v>
      </c>
      <c r="K94" s="5" t="s">
        <v>189</v>
      </c>
      <c r="M94" s="5" t="s">
        <v>189</v>
      </c>
      <c r="O94" s="5" t="s">
        <v>189</v>
      </c>
      <c r="Q94" s="5" t="s">
        <v>189</v>
      </c>
      <c r="S94" s="5" t="s">
        <v>189</v>
      </c>
      <c r="U94" s="5" t="s">
        <v>189</v>
      </c>
      <c r="W94" s="5" t="s">
        <v>189</v>
      </c>
      <c r="Y94" s="5" t="e">
        <f t="shared" si="6"/>
        <v>#VALUE!</v>
      </c>
    </row>
    <row r="95" spans="1:25" ht="12">
      <c r="A95" s="13" t="s">
        <v>85</v>
      </c>
      <c r="B95" s="13"/>
      <c r="C95" s="5">
        <f>+I95-E95-G95</f>
        <v>59077186</v>
      </c>
      <c r="E95" s="5">
        <f>13853269+51880980</f>
        <v>65734249</v>
      </c>
      <c r="G95" s="5">
        <v>104886</v>
      </c>
      <c r="I95" s="5">
        <v>124916321</v>
      </c>
      <c r="K95" s="5">
        <f>+O95-M95</f>
        <v>18528042</v>
      </c>
      <c r="M95" s="5">
        <f>1951122+13255702</f>
        <v>15206824</v>
      </c>
      <c r="O95" s="5">
        <v>33734866</v>
      </c>
      <c r="Q95" s="5">
        <v>52589281</v>
      </c>
      <c r="S95" s="5">
        <f>W95-U95-Q95</f>
        <v>26238437</v>
      </c>
      <c r="U95" s="5">
        <v>12353737</v>
      </c>
      <c r="W95" s="5">
        <v>91181455</v>
      </c>
      <c r="Y95" s="5">
        <f t="shared" si="6"/>
        <v>0</v>
      </c>
    </row>
    <row r="96" spans="1:25" ht="12" hidden="1">
      <c r="A96" s="13" t="s">
        <v>184</v>
      </c>
      <c r="B96" s="13"/>
      <c r="C96" s="5" t="s">
        <v>189</v>
      </c>
      <c r="E96" s="5" t="s">
        <v>189</v>
      </c>
      <c r="G96" s="5" t="s">
        <v>189</v>
      </c>
      <c r="I96" s="5" t="s">
        <v>189</v>
      </c>
      <c r="K96" s="5" t="s">
        <v>189</v>
      </c>
      <c r="M96" s="5" t="s">
        <v>189</v>
      </c>
      <c r="O96" s="5" t="s">
        <v>189</v>
      </c>
      <c r="Q96" s="5" t="s">
        <v>189</v>
      </c>
      <c r="S96" s="5" t="s">
        <v>189</v>
      </c>
      <c r="U96" s="5" t="s">
        <v>189</v>
      </c>
      <c r="W96" s="5" t="s">
        <v>189</v>
      </c>
      <c r="Y96" s="5" t="e">
        <f t="shared" si="6"/>
        <v>#VALUE!</v>
      </c>
    </row>
    <row r="97" spans="1:25" ht="12">
      <c r="A97" s="13" t="s">
        <v>86</v>
      </c>
      <c r="B97" s="13"/>
      <c r="C97" s="5">
        <f>+I97-E97-G97</f>
        <v>106852548</v>
      </c>
      <c r="E97" s="5">
        <f>8947854+28619592</f>
        <v>37567446</v>
      </c>
      <c r="G97" s="5">
        <v>0</v>
      </c>
      <c r="I97" s="5">
        <v>144419994</v>
      </c>
      <c r="K97" s="5">
        <f>+O97-M97</f>
        <v>29941508</v>
      </c>
      <c r="M97" s="5">
        <f>3302640+17136363</f>
        <v>20439003</v>
      </c>
      <c r="O97" s="5">
        <v>50380511</v>
      </c>
      <c r="Q97" s="5">
        <v>27928573</v>
      </c>
      <c r="S97" s="5">
        <f>W97-U97-Q97</f>
        <v>49308536</v>
      </c>
      <c r="U97" s="5">
        <v>16802374</v>
      </c>
      <c r="W97" s="5">
        <v>94039483</v>
      </c>
      <c r="Y97" s="5">
        <f t="shared" si="6"/>
        <v>0</v>
      </c>
    </row>
    <row r="98" spans="1:23" ht="12" hidden="1">
      <c r="A98" s="13" t="s">
        <v>185</v>
      </c>
      <c r="B98" s="13"/>
      <c r="C98" s="5" t="s">
        <v>189</v>
      </c>
      <c r="E98" s="5" t="s">
        <v>189</v>
      </c>
      <c r="G98" s="5" t="s">
        <v>189</v>
      </c>
      <c r="I98" s="5" t="s">
        <v>189</v>
      </c>
      <c r="K98" s="5" t="s">
        <v>189</v>
      </c>
      <c r="M98" s="5" t="s">
        <v>189</v>
      </c>
      <c r="O98" s="5" t="s">
        <v>189</v>
      </c>
      <c r="Q98" s="5" t="s">
        <v>189</v>
      </c>
      <c r="S98" s="5" t="s">
        <v>189</v>
      </c>
      <c r="U98" s="5" t="s">
        <v>189</v>
      </c>
      <c r="W98" s="5" t="s">
        <v>189</v>
      </c>
    </row>
    <row r="99" spans="1:2" ht="12">
      <c r="A99" s="13"/>
      <c r="B99" s="13"/>
    </row>
    <row r="100" spans="1:2" ht="12">
      <c r="A100" s="13"/>
      <c r="B100" s="13"/>
    </row>
  </sheetData>
  <mergeCells count="4">
    <mergeCell ref="C7:G7"/>
    <mergeCell ref="K7:M7"/>
    <mergeCell ref="Q7:U7"/>
    <mergeCell ref="A1:J1"/>
  </mergeCells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&amp;C&amp;"Times New Roman,Regular"&amp;11&amp;P</oddFooter>
  </headerFooter>
  <colBreaks count="1" manualBreakCount="1">
    <brk id="11" max="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W116"/>
  <sheetViews>
    <sheetView zoomScaleSheetLayoutView="75" workbookViewId="0" topLeftCell="A1">
      <selection activeCell="A7" sqref="A7"/>
    </sheetView>
  </sheetViews>
  <sheetFormatPr defaultColWidth="9.140625" defaultRowHeight="12.75"/>
  <cols>
    <col min="1" max="1" width="11.7109375" style="28" customWidth="1"/>
    <col min="2" max="2" width="1.7109375" style="28" customWidth="1"/>
    <col min="3" max="3" width="11.7109375" style="28" customWidth="1"/>
    <col min="4" max="4" width="1.7109375" style="28" customWidth="1"/>
    <col min="5" max="5" width="11.7109375" style="28" customWidth="1"/>
    <col min="6" max="6" width="1.7109375" style="28" customWidth="1"/>
    <col min="7" max="7" width="11.7109375" style="28" customWidth="1"/>
    <col min="8" max="8" width="1.7109375" style="28" customWidth="1"/>
    <col min="9" max="9" width="11.7109375" style="95" customWidth="1"/>
    <col min="10" max="10" width="1.7109375" style="95" customWidth="1"/>
    <col min="11" max="11" width="11.7109375" style="95" customWidth="1"/>
    <col min="12" max="12" width="1.7109375" style="28" customWidth="1"/>
    <col min="13" max="13" width="11.7109375" style="28" customWidth="1"/>
    <col min="14" max="14" width="1.7109375" style="28" customWidth="1"/>
    <col min="15" max="15" width="11.7109375" style="28" customWidth="1"/>
    <col min="16" max="16" width="1.7109375" style="28" customWidth="1"/>
    <col min="17" max="17" width="11.7109375" style="28" customWidth="1"/>
    <col min="18" max="18" width="1.7109375" style="28" customWidth="1"/>
    <col min="19" max="19" width="11.7109375" style="28" customWidth="1"/>
    <col min="20" max="20" width="1.7109375" style="28" customWidth="1"/>
    <col min="21" max="21" width="11.7109375" style="28" customWidth="1"/>
    <col min="22" max="22" width="1.7109375" style="28" customWidth="1"/>
    <col min="23" max="23" width="11.7109375" style="28" hidden="1" customWidth="1"/>
    <col min="24" max="24" width="1.7109375" style="28" hidden="1" customWidth="1"/>
    <col min="25" max="25" width="11.7109375" style="28" customWidth="1"/>
    <col min="26" max="26" width="1.7109375" style="28" customWidth="1"/>
    <col min="27" max="27" width="11.7109375" style="28" customWidth="1"/>
    <col min="28" max="28" width="1.7109375" style="28" customWidth="1"/>
    <col min="29" max="29" width="11.7109375" style="28" customWidth="1"/>
    <col min="30" max="30" width="1.7109375" style="28" customWidth="1"/>
    <col min="31" max="31" width="11.7109375" style="28" customWidth="1"/>
    <col min="32" max="32" width="1.7109375" style="28" customWidth="1"/>
    <col min="33" max="33" width="11.7109375" style="26" customWidth="1"/>
    <col min="34" max="34" width="1.7109375" style="26" customWidth="1"/>
    <col min="35" max="35" width="11.7109375" style="26" customWidth="1"/>
    <col min="36" max="36" width="1.7109375" style="26" customWidth="1"/>
    <col min="37" max="37" width="11.7109375" style="26" customWidth="1"/>
    <col min="38" max="38" width="1.7109375" style="26" customWidth="1"/>
    <col min="39" max="39" width="11.7109375" style="26" customWidth="1"/>
    <col min="40" max="40" width="1.7109375" style="26" customWidth="1"/>
    <col min="41" max="41" width="11.7109375" style="28" customWidth="1"/>
    <col min="42" max="42" width="1.7109375" style="28" customWidth="1"/>
    <col min="43" max="43" width="11.7109375" style="28" customWidth="1"/>
    <col min="44" max="44" width="1.7109375" style="28" customWidth="1"/>
    <col min="45" max="45" width="11.7109375" style="28" customWidth="1"/>
    <col min="46" max="46" width="1.7109375" style="28" customWidth="1"/>
    <col min="47" max="47" width="11.7109375" style="28" customWidth="1"/>
    <col min="48" max="48" width="1.7109375" style="28" customWidth="1"/>
    <col min="49" max="49" width="11.7109375" style="28" customWidth="1"/>
    <col min="50" max="50" width="1.421875" style="28" customWidth="1"/>
    <col min="51" max="51" width="11.7109375" style="28" customWidth="1"/>
    <col min="52" max="52" width="1.7109375" style="28" customWidth="1"/>
    <col min="53" max="53" width="11.7109375" style="28" customWidth="1"/>
    <col min="54" max="54" width="1.7109375" style="28" customWidth="1"/>
    <col min="55" max="55" width="11.7109375" style="28" customWidth="1"/>
    <col min="56" max="56" width="1.7109375" style="28" customWidth="1"/>
    <col min="57" max="57" width="11.7109375" style="28" customWidth="1"/>
    <col min="58" max="58" width="1.7109375" style="28" customWidth="1"/>
    <col min="59" max="59" width="11.7109375" style="28" customWidth="1"/>
    <col min="60" max="60" width="1.7109375" style="28" customWidth="1"/>
    <col min="61" max="61" width="10.7109375" style="28" hidden="1" customWidth="1"/>
    <col min="62" max="62" width="1.7109375" style="28" hidden="1" customWidth="1"/>
    <col min="63" max="63" width="11.7109375" style="28" customWidth="1"/>
    <col min="64" max="16384" width="8.421875" style="28" customWidth="1"/>
  </cols>
  <sheetData>
    <row r="1" spans="1:65" s="88" customFormat="1" ht="12">
      <c r="A1" s="25" t="s">
        <v>212</v>
      </c>
      <c r="B1" s="25"/>
      <c r="C1" s="7"/>
      <c r="D1" s="7"/>
      <c r="E1" s="7"/>
      <c r="F1" s="7"/>
      <c r="G1" s="7"/>
      <c r="H1" s="7"/>
      <c r="I1" s="100"/>
      <c r="J1" s="100"/>
      <c r="K1" s="10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23" t="s">
        <v>225</v>
      </c>
      <c r="Z1" s="123"/>
      <c r="AA1" s="123"/>
      <c r="AB1" s="7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25" t="s">
        <v>225</v>
      </c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5" s="88" customFormat="1" ht="12">
      <c r="A2" s="123" t="s">
        <v>228</v>
      </c>
      <c r="B2" s="123"/>
      <c r="C2" s="123"/>
      <c r="D2" s="123"/>
      <c r="E2" s="123"/>
      <c r="F2" s="123"/>
      <c r="G2" s="123"/>
      <c r="H2" s="123"/>
      <c r="I2" s="100"/>
      <c r="J2" s="100"/>
      <c r="K2" s="10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 t="s">
        <v>235</v>
      </c>
      <c r="Z2" s="25"/>
      <c r="AA2" s="25"/>
      <c r="AB2" s="25"/>
      <c r="AC2" s="25"/>
      <c r="AD2" s="25"/>
      <c r="AE2" s="25"/>
      <c r="AF2" s="25"/>
      <c r="AG2" s="25"/>
      <c r="AH2" s="25"/>
      <c r="AI2" s="19"/>
      <c r="AJ2" s="19"/>
      <c r="AK2" s="14"/>
      <c r="AL2" s="14"/>
      <c r="AM2" s="14"/>
      <c r="AN2" s="14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23" t="s">
        <v>229</v>
      </c>
      <c r="AZ2" s="123"/>
      <c r="BA2" s="123"/>
      <c r="BB2" s="123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4" s="88" customFormat="1" ht="12">
      <c r="A3" s="17" t="s">
        <v>211</v>
      </c>
      <c r="B3" s="25"/>
      <c r="C3" s="7"/>
      <c r="D3" s="7"/>
      <c r="E3" s="7"/>
      <c r="F3" s="7"/>
      <c r="G3" s="7"/>
      <c r="H3" s="7"/>
      <c r="I3" s="100"/>
      <c r="J3" s="100"/>
      <c r="K3" s="10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7" t="s">
        <v>154</v>
      </c>
      <c r="Z3" s="17"/>
      <c r="AA3" s="17"/>
      <c r="AB3" s="17"/>
      <c r="AC3" s="1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7" t="s">
        <v>211</v>
      </c>
      <c r="AZ3" s="17"/>
      <c r="BA3" s="17"/>
      <c r="BB3" s="17"/>
      <c r="BC3" s="92"/>
      <c r="BD3" s="92"/>
      <c r="BE3" s="18"/>
      <c r="BF3" s="18"/>
      <c r="BG3" s="18"/>
      <c r="BH3" s="18"/>
      <c r="BI3" s="18"/>
      <c r="BJ3" s="18"/>
      <c r="BK3" s="18"/>
      <c r="BL3" s="18"/>
    </row>
    <row r="4" spans="1:64" ht="12">
      <c r="A4" s="27"/>
      <c r="B4" s="27"/>
      <c r="C4" s="71"/>
      <c r="D4" s="71"/>
      <c r="E4" s="71"/>
      <c r="F4" s="71"/>
      <c r="G4" s="71"/>
      <c r="H4" s="71"/>
      <c r="I4" s="54"/>
      <c r="J4" s="54"/>
      <c r="K4" s="5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76"/>
      <c r="Z4" s="13"/>
      <c r="AA4" s="13"/>
      <c r="AB4" s="1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8"/>
      <c r="AP4" s="8"/>
      <c r="AQ4" s="8"/>
      <c r="AR4" s="8"/>
      <c r="AS4" s="8"/>
      <c r="AT4" s="8"/>
      <c r="AU4" s="8"/>
      <c r="AV4" s="8"/>
      <c r="AW4" s="8"/>
      <c r="AX4" s="8"/>
      <c r="AY4" s="2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2">
      <c r="A5" s="6" t="s">
        <v>197</v>
      </c>
      <c r="B5" s="29"/>
      <c r="C5" s="32"/>
      <c r="D5" s="32"/>
      <c r="E5" s="32"/>
      <c r="F5" s="32"/>
      <c r="G5" s="32"/>
      <c r="H5" s="32"/>
      <c r="I5" s="57"/>
      <c r="J5" s="57"/>
      <c r="K5" s="5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6" t="s">
        <v>197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6" t="s">
        <v>197</v>
      </c>
      <c r="AZ5" s="32"/>
      <c r="BJ5" s="49"/>
      <c r="BK5" s="34"/>
      <c r="BL5" s="8"/>
    </row>
    <row r="6" spans="1:64" ht="12">
      <c r="A6" s="6"/>
      <c r="B6" s="29"/>
      <c r="C6" s="32"/>
      <c r="D6" s="32"/>
      <c r="E6" s="32"/>
      <c r="F6" s="32"/>
      <c r="G6" s="32"/>
      <c r="H6" s="32"/>
      <c r="I6" s="57"/>
      <c r="J6" s="57"/>
      <c r="K6" s="57"/>
      <c r="L6" s="32"/>
      <c r="M6" s="32"/>
      <c r="N6" s="32"/>
      <c r="V6" s="32"/>
      <c r="W6" s="32"/>
      <c r="X6" s="32"/>
      <c r="Y6" s="6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6"/>
      <c r="AZ6" s="32"/>
      <c r="BJ6" s="49"/>
      <c r="BK6" s="34"/>
      <c r="BL6" s="8"/>
    </row>
    <row r="7" spans="1:64" ht="12">
      <c r="A7" s="6"/>
      <c r="B7" s="29"/>
      <c r="C7" s="32"/>
      <c r="D7" s="32"/>
      <c r="E7" s="32"/>
      <c r="F7" s="32"/>
      <c r="G7" s="32"/>
      <c r="H7" s="32"/>
      <c r="I7" s="57"/>
      <c r="J7" s="57"/>
      <c r="K7" s="57"/>
      <c r="L7" s="32"/>
      <c r="M7" s="32"/>
      <c r="N7" s="32"/>
      <c r="O7" s="119"/>
      <c r="P7" s="119"/>
      <c r="Q7" s="119"/>
      <c r="R7" s="119"/>
      <c r="S7" s="119"/>
      <c r="T7" s="49"/>
      <c r="U7" s="49"/>
      <c r="V7" s="32"/>
      <c r="W7" s="32"/>
      <c r="X7" s="32"/>
      <c r="Y7" s="6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6" t="s">
        <v>236</v>
      </c>
      <c r="AT7" s="36"/>
      <c r="AU7" s="36" t="s">
        <v>233</v>
      </c>
      <c r="AV7" s="32"/>
      <c r="AW7" s="32"/>
      <c r="AX7" s="32"/>
      <c r="AY7" s="6"/>
      <c r="AZ7" s="32"/>
      <c r="BA7" s="107"/>
      <c r="BB7" s="107"/>
      <c r="BC7" s="107"/>
      <c r="BD7" s="107"/>
      <c r="BE7" s="107"/>
      <c r="BF7" s="107"/>
      <c r="BG7" s="49"/>
      <c r="BH7" s="49"/>
      <c r="BI7" s="49"/>
      <c r="BJ7" s="49"/>
      <c r="BK7" s="34"/>
      <c r="BL7" s="8"/>
    </row>
    <row r="8" spans="1:64" ht="12">
      <c r="A8" s="29"/>
      <c r="B8" s="29"/>
      <c r="C8" s="32"/>
      <c r="D8" s="32"/>
      <c r="E8" s="32"/>
      <c r="F8" s="32"/>
      <c r="G8" s="32"/>
      <c r="H8" s="32"/>
      <c r="I8" s="57"/>
      <c r="J8" s="57"/>
      <c r="K8" s="57"/>
      <c r="L8" s="32"/>
      <c r="M8" s="32"/>
      <c r="N8" s="32"/>
      <c r="U8" s="89" t="s">
        <v>3</v>
      </c>
      <c r="V8" s="75" t="s">
        <v>208</v>
      </c>
      <c r="W8" s="49"/>
      <c r="X8" s="49"/>
      <c r="Y8" s="29"/>
      <c r="Z8" s="49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 t="s">
        <v>204</v>
      </c>
      <c r="AR8" s="32"/>
      <c r="AS8" s="89" t="s">
        <v>155</v>
      </c>
      <c r="AT8" s="36"/>
      <c r="AU8" s="89" t="s">
        <v>155</v>
      </c>
      <c r="AV8" s="32"/>
      <c r="AW8" s="32"/>
      <c r="AX8" s="32"/>
      <c r="AY8" s="29"/>
      <c r="AZ8" s="32"/>
      <c r="BA8" s="32" t="s">
        <v>105</v>
      </c>
      <c r="BB8" s="32"/>
      <c r="BC8" s="32" t="s">
        <v>106</v>
      </c>
      <c r="BD8" s="32"/>
      <c r="BE8" s="32"/>
      <c r="BF8" s="32"/>
      <c r="BG8" s="32" t="s">
        <v>107</v>
      </c>
      <c r="BH8" s="32"/>
      <c r="BI8" s="32" t="s">
        <v>205</v>
      </c>
      <c r="BJ8" s="32"/>
      <c r="BK8" s="36" t="s">
        <v>3</v>
      </c>
      <c r="BL8" s="8"/>
    </row>
    <row r="9" spans="1:64" ht="12">
      <c r="A9" s="29"/>
      <c r="B9" s="29"/>
      <c r="C9" s="32" t="s">
        <v>140</v>
      </c>
      <c r="D9" s="32"/>
      <c r="E9" s="32" t="s">
        <v>156</v>
      </c>
      <c r="F9" s="32"/>
      <c r="G9" s="32" t="s">
        <v>3</v>
      </c>
      <c r="H9" s="32"/>
      <c r="I9" s="57" t="s">
        <v>140</v>
      </c>
      <c r="J9" s="57"/>
      <c r="K9" s="57" t="s">
        <v>109</v>
      </c>
      <c r="L9" s="32"/>
      <c r="M9" s="32" t="s">
        <v>3</v>
      </c>
      <c r="N9" s="32"/>
      <c r="O9" s="32" t="s">
        <v>144</v>
      </c>
      <c r="P9" s="32"/>
      <c r="Q9" s="32"/>
      <c r="R9" s="32"/>
      <c r="S9" s="32"/>
      <c r="T9" s="32"/>
      <c r="U9" s="52" t="s">
        <v>254</v>
      </c>
      <c r="V9" s="32"/>
      <c r="W9" s="32"/>
      <c r="X9" s="32"/>
      <c r="Y9" s="29"/>
      <c r="Z9" s="32"/>
      <c r="AA9" s="32" t="s">
        <v>103</v>
      </c>
      <c r="AB9" s="32"/>
      <c r="AC9" s="32" t="s">
        <v>157</v>
      </c>
      <c r="AD9" s="32"/>
      <c r="AE9" s="32"/>
      <c r="AF9" s="32"/>
      <c r="AG9" s="32" t="s">
        <v>103</v>
      </c>
      <c r="AH9" s="32"/>
      <c r="AI9" s="32" t="s">
        <v>158</v>
      </c>
      <c r="AJ9" s="32"/>
      <c r="AK9" s="32" t="s">
        <v>103</v>
      </c>
      <c r="AL9" s="32"/>
      <c r="AM9" s="32" t="s">
        <v>103</v>
      </c>
      <c r="AN9" s="32"/>
      <c r="AO9" s="32" t="s">
        <v>90</v>
      </c>
      <c r="AP9" s="32"/>
      <c r="AQ9" s="32" t="s">
        <v>217</v>
      </c>
      <c r="AR9" s="32"/>
      <c r="AS9" s="36" t="s">
        <v>219</v>
      </c>
      <c r="AT9" s="36"/>
      <c r="AU9" s="36" t="s">
        <v>219</v>
      </c>
      <c r="AV9" s="32"/>
      <c r="AW9" s="32" t="s">
        <v>256</v>
      </c>
      <c r="AX9" s="32"/>
      <c r="AY9" s="29"/>
      <c r="AZ9" s="32"/>
      <c r="BA9" s="32" t="s">
        <v>108</v>
      </c>
      <c r="BB9" s="32"/>
      <c r="BC9" s="32" t="s">
        <v>10</v>
      </c>
      <c r="BD9" s="32"/>
      <c r="BE9" s="32"/>
      <c r="BF9" s="32"/>
      <c r="BG9" s="32" t="s">
        <v>109</v>
      </c>
      <c r="BH9" s="32"/>
      <c r="BI9" s="32" t="s">
        <v>206</v>
      </c>
      <c r="BJ9" s="32"/>
      <c r="BK9" s="36" t="s">
        <v>109</v>
      </c>
      <c r="BL9" s="8"/>
    </row>
    <row r="10" spans="1:64" ht="12">
      <c r="A10" s="30" t="s">
        <v>4</v>
      </c>
      <c r="B10" s="8"/>
      <c r="C10" s="39" t="s">
        <v>117</v>
      </c>
      <c r="D10" s="8"/>
      <c r="E10" s="39" t="s">
        <v>117</v>
      </c>
      <c r="F10" s="8"/>
      <c r="G10" s="39" t="s">
        <v>117</v>
      </c>
      <c r="H10" s="8"/>
      <c r="I10" s="101" t="s">
        <v>124</v>
      </c>
      <c r="J10" s="99"/>
      <c r="K10" s="101" t="s">
        <v>116</v>
      </c>
      <c r="L10" s="8"/>
      <c r="M10" s="39" t="s">
        <v>124</v>
      </c>
      <c r="N10" s="8"/>
      <c r="O10" s="39" t="s">
        <v>226</v>
      </c>
      <c r="P10" s="8"/>
      <c r="Q10" s="39" t="s">
        <v>146</v>
      </c>
      <c r="R10" s="8"/>
      <c r="S10" s="39" t="s">
        <v>147</v>
      </c>
      <c r="T10" s="8"/>
      <c r="U10" s="39" t="s">
        <v>255</v>
      </c>
      <c r="V10" s="8"/>
      <c r="W10" s="39"/>
      <c r="X10" s="39"/>
      <c r="Y10" s="30" t="s">
        <v>4</v>
      </c>
      <c r="Z10" s="8"/>
      <c r="AA10" s="39" t="s">
        <v>11</v>
      </c>
      <c r="AB10" s="8"/>
      <c r="AC10" s="39" t="s">
        <v>110</v>
      </c>
      <c r="AD10" s="8"/>
      <c r="AE10" s="39" t="s">
        <v>110</v>
      </c>
      <c r="AF10" s="8"/>
      <c r="AG10" s="39" t="s">
        <v>111</v>
      </c>
      <c r="AH10" s="8"/>
      <c r="AI10" s="39" t="s">
        <v>218</v>
      </c>
      <c r="AJ10" s="8"/>
      <c r="AK10" s="39" t="s">
        <v>112</v>
      </c>
      <c r="AL10" s="8"/>
      <c r="AM10" s="39" t="s">
        <v>113</v>
      </c>
      <c r="AN10" s="8"/>
      <c r="AO10" s="39" t="s">
        <v>159</v>
      </c>
      <c r="AP10" s="8"/>
      <c r="AQ10" s="39" t="s">
        <v>142</v>
      </c>
      <c r="AR10" s="8"/>
      <c r="AS10" s="41" t="s">
        <v>220</v>
      </c>
      <c r="AT10" s="84"/>
      <c r="AU10" s="41" t="s">
        <v>220</v>
      </c>
      <c r="AV10" s="8"/>
      <c r="AW10" s="39" t="s">
        <v>90</v>
      </c>
      <c r="AX10" s="8"/>
      <c r="AY10" s="30" t="s">
        <v>4</v>
      </c>
      <c r="AZ10" s="8"/>
      <c r="BA10" s="39" t="s">
        <v>114</v>
      </c>
      <c r="BB10" s="8"/>
      <c r="BC10" s="39" t="s">
        <v>114</v>
      </c>
      <c r="BD10" s="8"/>
      <c r="BE10" s="39" t="s">
        <v>115</v>
      </c>
      <c r="BF10" s="8"/>
      <c r="BG10" s="39" t="s">
        <v>116</v>
      </c>
      <c r="BH10" s="8"/>
      <c r="BI10" s="39" t="s">
        <v>207</v>
      </c>
      <c r="BJ10" s="39"/>
      <c r="BK10" s="41" t="s">
        <v>116</v>
      </c>
      <c r="BL10" s="8"/>
    </row>
    <row r="11" spans="1:64" ht="11.25" customHeight="1" hidden="1">
      <c r="A11" s="28" t="s">
        <v>12</v>
      </c>
      <c r="C11" s="37"/>
      <c r="D11" s="37"/>
      <c r="E11" s="37"/>
      <c r="F11" s="37"/>
      <c r="G11" s="37"/>
      <c r="H11" s="37"/>
      <c r="I11" s="96"/>
      <c r="J11" s="96"/>
      <c r="K11" s="9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>
        <f>+G11-M11-U11</f>
        <v>0</v>
      </c>
      <c r="X11" s="37"/>
      <c r="Y11" s="28" t="s">
        <v>12</v>
      </c>
      <c r="Z11" s="37"/>
      <c r="AA11" s="37" t="s">
        <v>165</v>
      </c>
      <c r="AB11" s="37"/>
      <c r="AC11" s="37" t="s">
        <v>165</v>
      </c>
      <c r="AD11" s="37"/>
      <c r="AE11" s="37" t="s">
        <v>165</v>
      </c>
      <c r="AF11" s="37"/>
      <c r="AG11" s="37" t="s">
        <v>165</v>
      </c>
      <c r="AH11" s="37"/>
      <c r="AI11" s="37" t="s">
        <v>165</v>
      </c>
      <c r="AJ11" s="37"/>
      <c r="AK11" s="37" t="s">
        <v>165</v>
      </c>
      <c r="AL11" s="37"/>
      <c r="AM11" s="37" t="s">
        <v>165</v>
      </c>
      <c r="AN11" s="37"/>
      <c r="AO11" s="37" t="s">
        <v>165</v>
      </c>
      <c r="AP11" s="37"/>
      <c r="AQ11" s="37" t="s">
        <v>165</v>
      </c>
      <c r="AR11" s="37"/>
      <c r="AS11" s="37" t="s">
        <v>165</v>
      </c>
      <c r="AT11" s="37"/>
      <c r="AU11" s="37" t="s">
        <v>165</v>
      </c>
      <c r="AV11" s="37"/>
      <c r="AW11" s="37" t="s">
        <v>165</v>
      </c>
      <c r="AX11" s="37"/>
      <c r="AY11" s="28" t="s">
        <v>12</v>
      </c>
      <c r="AZ11" s="37"/>
      <c r="BA11" s="37" t="s">
        <v>165</v>
      </c>
      <c r="BB11" s="37"/>
      <c r="BC11" s="37" t="s">
        <v>165</v>
      </c>
      <c r="BD11" s="37"/>
      <c r="BE11" s="37" t="s">
        <v>165</v>
      </c>
      <c r="BF11" s="37"/>
      <c r="BG11" s="37" t="s">
        <v>165</v>
      </c>
      <c r="BH11" s="37"/>
      <c r="BI11" s="37"/>
      <c r="BJ11" s="37"/>
      <c r="BK11" s="34">
        <f>SUM(BA11:BI11)</f>
        <v>0</v>
      </c>
      <c r="BL11" s="8"/>
    </row>
    <row r="12" spans="1:64" ht="11.25" customHeight="1" hidden="1">
      <c r="A12" s="28" t="s">
        <v>13</v>
      </c>
      <c r="C12" s="37"/>
      <c r="D12" s="37"/>
      <c r="E12" s="37"/>
      <c r="F12" s="37"/>
      <c r="G12" s="37"/>
      <c r="H12" s="37"/>
      <c r="I12" s="96"/>
      <c r="J12" s="96"/>
      <c r="K12" s="9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>
        <f>+G12-M12-U12</f>
        <v>0</v>
      </c>
      <c r="X12" s="37"/>
      <c r="Y12" s="28" t="s">
        <v>13</v>
      </c>
      <c r="Z12" s="37"/>
      <c r="AA12" s="37" t="s">
        <v>165</v>
      </c>
      <c r="AB12" s="37"/>
      <c r="AC12" s="37" t="s">
        <v>165</v>
      </c>
      <c r="AD12" s="37"/>
      <c r="AE12" s="37" t="s">
        <v>165</v>
      </c>
      <c r="AF12" s="37"/>
      <c r="AG12" s="37" t="s">
        <v>165</v>
      </c>
      <c r="AH12" s="37"/>
      <c r="AI12" s="37" t="s">
        <v>165</v>
      </c>
      <c r="AJ12" s="37"/>
      <c r="AK12" s="37" t="s">
        <v>165</v>
      </c>
      <c r="AL12" s="37"/>
      <c r="AM12" s="37" t="s">
        <v>165</v>
      </c>
      <c r="AN12" s="37"/>
      <c r="AO12" s="37" t="s">
        <v>165</v>
      </c>
      <c r="AP12" s="37"/>
      <c r="AQ12" s="37" t="s">
        <v>165</v>
      </c>
      <c r="AR12" s="37"/>
      <c r="AS12" s="37" t="s">
        <v>165</v>
      </c>
      <c r="AT12" s="37"/>
      <c r="AU12" s="37" t="s">
        <v>165</v>
      </c>
      <c r="AV12" s="37"/>
      <c r="AW12" s="37" t="s">
        <v>165</v>
      </c>
      <c r="AX12" s="37"/>
      <c r="AY12" s="28" t="s">
        <v>13</v>
      </c>
      <c r="AZ12" s="37"/>
      <c r="BA12" s="37" t="s">
        <v>165</v>
      </c>
      <c r="BB12" s="37"/>
      <c r="BC12" s="37" t="s">
        <v>165</v>
      </c>
      <c r="BD12" s="37"/>
      <c r="BE12" s="37" t="s">
        <v>165</v>
      </c>
      <c r="BF12" s="37"/>
      <c r="BG12" s="37" t="s">
        <v>165</v>
      </c>
      <c r="BH12" s="37"/>
      <c r="BI12" s="37"/>
      <c r="BJ12" s="37"/>
      <c r="BK12" s="34">
        <f>SUM(BA12:BI12)</f>
        <v>0</v>
      </c>
      <c r="BL12" s="8"/>
    </row>
    <row r="13" spans="1:64" ht="11.25" customHeight="1" hidden="1">
      <c r="A13" s="28" t="s">
        <v>14</v>
      </c>
      <c r="C13" s="37"/>
      <c r="D13" s="37"/>
      <c r="E13" s="37"/>
      <c r="F13" s="37"/>
      <c r="G13" s="37"/>
      <c r="H13" s="37"/>
      <c r="I13" s="96"/>
      <c r="J13" s="96"/>
      <c r="K13" s="9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>
        <f>+G13-M13-U13</f>
        <v>0</v>
      </c>
      <c r="X13" s="37"/>
      <c r="Y13" s="28" t="s">
        <v>14</v>
      </c>
      <c r="Z13" s="37"/>
      <c r="AA13" s="37" t="s">
        <v>165</v>
      </c>
      <c r="AB13" s="37"/>
      <c r="AC13" s="37" t="s">
        <v>165</v>
      </c>
      <c r="AD13" s="37"/>
      <c r="AE13" s="37" t="s">
        <v>165</v>
      </c>
      <c r="AF13" s="37"/>
      <c r="AG13" s="37" t="s">
        <v>165</v>
      </c>
      <c r="AH13" s="37"/>
      <c r="AI13" s="37" t="s">
        <v>165</v>
      </c>
      <c r="AJ13" s="37"/>
      <c r="AK13" s="37" t="s">
        <v>165</v>
      </c>
      <c r="AL13" s="37"/>
      <c r="AM13" s="37" t="s">
        <v>165</v>
      </c>
      <c r="AN13" s="37"/>
      <c r="AO13" s="37" t="s">
        <v>165</v>
      </c>
      <c r="AP13" s="37"/>
      <c r="AQ13" s="37" t="s">
        <v>165</v>
      </c>
      <c r="AR13" s="37"/>
      <c r="AS13" s="37" t="s">
        <v>165</v>
      </c>
      <c r="AT13" s="37"/>
      <c r="AU13" s="37" t="s">
        <v>165</v>
      </c>
      <c r="AV13" s="37"/>
      <c r="AW13" s="37" t="s">
        <v>165</v>
      </c>
      <c r="AX13" s="37"/>
      <c r="AY13" s="28" t="s">
        <v>14</v>
      </c>
      <c r="AZ13" s="37"/>
      <c r="BA13" s="37" t="s">
        <v>165</v>
      </c>
      <c r="BB13" s="37"/>
      <c r="BC13" s="37" t="s">
        <v>165</v>
      </c>
      <c r="BD13" s="37"/>
      <c r="BE13" s="37" t="s">
        <v>165</v>
      </c>
      <c r="BF13" s="37"/>
      <c r="BG13" s="37" t="s">
        <v>165</v>
      </c>
      <c r="BH13" s="37"/>
      <c r="BI13" s="37"/>
      <c r="BJ13" s="37"/>
      <c r="BK13" s="34">
        <f>SUM(BA13:BI13)</f>
        <v>0</v>
      </c>
      <c r="BL13" s="8"/>
    </row>
    <row r="14" spans="3:64" ht="12">
      <c r="C14" s="37"/>
      <c r="D14" s="37"/>
      <c r="E14" s="37"/>
      <c r="F14" s="37"/>
      <c r="G14" s="37"/>
      <c r="H14" s="37"/>
      <c r="I14" s="96"/>
      <c r="J14" s="96"/>
      <c r="K14" s="9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4"/>
      <c r="BL14" s="8"/>
    </row>
    <row r="15" spans="1:64" ht="12">
      <c r="A15" s="28" t="s">
        <v>15</v>
      </c>
      <c r="C15" s="77">
        <f>G15-E15</f>
        <v>2992640</v>
      </c>
      <c r="D15" s="77"/>
      <c r="E15" s="77">
        <v>28085858</v>
      </c>
      <c r="F15" s="77"/>
      <c r="G15" s="77">
        <v>31078498</v>
      </c>
      <c r="H15" s="77"/>
      <c r="I15" s="102">
        <f>M15-K15</f>
        <v>131375</v>
      </c>
      <c r="J15" s="102"/>
      <c r="K15" s="102">
        <f>SUM(BK15)</f>
        <v>19120645</v>
      </c>
      <c r="L15" s="77"/>
      <c r="M15" s="77">
        <v>19252020</v>
      </c>
      <c r="N15" s="77"/>
      <c r="O15" s="77">
        <v>0</v>
      </c>
      <c r="P15" s="77"/>
      <c r="Q15" s="77">
        <v>0</v>
      </c>
      <c r="R15" s="77"/>
      <c r="S15" s="77">
        <f>11826478</f>
        <v>11826478</v>
      </c>
      <c r="T15" s="77"/>
      <c r="U15" s="77">
        <f>SUM(O15:S15)</f>
        <v>11826478</v>
      </c>
      <c r="V15" s="77"/>
      <c r="W15" s="77">
        <f>+G15-M15-U15</f>
        <v>0</v>
      </c>
      <c r="X15" s="77"/>
      <c r="Y15" s="80" t="s">
        <v>15</v>
      </c>
      <c r="Z15" s="77"/>
      <c r="AA15" s="81">
        <v>1574483</v>
      </c>
      <c r="AB15" s="81"/>
      <c r="AC15" s="81">
        <f>2003994-967670</f>
        <v>1036324</v>
      </c>
      <c r="AD15" s="81"/>
      <c r="AE15" s="81">
        <v>967670</v>
      </c>
      <c r="AF15" s="81"/>
      <c r="AG15" s="74">
        <f>+AA15-AC15-AE15</f>
        <v>-429511</v>
      </c>
      <c r="AH15" s="74"/>
      <c r="AI15" s="74">
        <v>252590</v>
      </c>
      <c r="AJ15" s="74"/>
      <c r="AK15" s="81">
        <v>39595</v>
      </c>
      <c r="AL15" s="81"/>
      <c r="AM15" s="81">
        <v>0</v>
      </c>
      <c r="AN15" s="81"/>
      <c r="AO15" s="81">
        <v>0</v>
      </c>
      <c r="AP15" s="81"/>
      <c r="AQ15" s="74">
        <f>+AG15+AI15+AK15-AM15+AO15</f>
        <v>-137326</v>
      </c>
      <c r="AR15" s="74"/>
      <c r="AS15" s="106" t="s">
        <v>163</v>
      </c>
      <c r="AT15" s="81"/>
      <c r="AU15" s="106" t="s">
        <v>163</v>
      </c>
      <c r="AV15" s="81"/>
      <c r="AW15" s="81">
        <f>+C15-I15</f>
        <v>2861265</v>
      </c>
      <c r="AX15" s="81"/>
      <c r="AY15" s="80" t="s">
        <v>15</v>
      </c>
      <c r="AZ15" s="81"/>
      <c r="BA15" s="81">
        <v>0</v>
      </c>
      <c r="BB15" s="81"/>
      <c r="BC15" s="81">
        <v>427100</v>
      </c>
      <c r="BD15" s="81"/>
      <c r="BE15" s="81">
        <f>18272226+421319</f>
        <v>18693545</v>
      </c>
      <c r="BF15" s="81"/>
      <c r="BG15" s="81">
        <v>0</v>
      </c>
      <c r="BH15" s="81"/>
      <c r="BI15" s="81"/>
      <c r="BJ15" s="81"/>
      <c r="BK15" s="81">
        <f>SUM(BA15:BI15)</f>
        <v>19120645</v>
      </c>
      <c r="BL15" s="8"/>
    </row>
    <row r="16" spans="1:64" s="95" customFormat="1" ht="12">
      <c r="A16" s="95" t="s">
        <v>16</v>
      </c>
      <c r="C16" s="96">
        <f>G16-E16</f>
        <v>860414</v>
      </c>
      <c r="D16" s="96"/>
      <c r="E16" s="96">
        <v>5248784</v>
      </c>
      <c r="F16" s="96"/>
      <c r="G16" s="96">
        <f>6109191+7</f>
        <v>6109198</v>
      </c>
      <c r="H16" s="96"/>
      <c r="I16" s="96">
        <f>M16-K16</f>
        <v>81200</v>
      </c>
      <c r="J16" s="96"/>
      <c r="K16" s="96">
        <f>SUM(BK16)</f>
        <v>1475387</v>
      </c>
      <c r="L16" s="96"/>
      <c r="M16" s="96">
        <v>1556587</v>
      </c>
      <c r="N16" s="96"/>
      <c r="O16" s="96">
        <v>0</v>
      </c>
      <c r="P16" s="96"/>
      <c r="Q16" s="96">
        <v>0</v>
      </c>
      <c r="R16" s="96"/>
      <c r="S16" s="96">
        <f>2059225+2438445+54879+62</f>
        <v>4552611</v>
      </c>
      <c r="T16" s="96"/>
      <c r="U16" s="96">
        <f>SUM(O16:S16)</f>
        <v>4552611</v>
      </c>
      <c r="V16" s="96"/>
      <c r="W16" s="96">
        <f aca="true" t="shared" si="0" ref="W16:W79">+G16-M16-U16</f>
        <v>0</v>
      </c>
      <c r="X16" s="96"/>
      <c r="Y16" s="97" t="s">
        <v>16</v>
      </c>
      <c r="Z16" s="96"/>
      <c r="AA16" s="45">
        <f>368493+116724+21597</f>
        <v>506814</v>
      </c>
      <c r="AB16" s="45"/>
      <c r="AC16" s="45">
        <f>271373+43557</f>
        <v>314930</v>
      </c>
      <c r="AD16" s="45"/>
      <c r="AE16" s="45">
        <f>40628</f>
        <v>40628</v>
      </c>
      <c r="AF16" s="45"/>
      <c r="AG16" s="98">
        <f>+AA16-AC16-AE16</f>
        <v>151256</v>
      </c>
      <c r="AH16" s="98"/>
      <c r="AI16" s="98">
        <f>231152+114736</f>
        <v>345888</v>
      </c>
      <c r="AJ16" s="98"/>
      <c r="AK16" s="45">
        <v>0</v>
      </c>
      <c r="AL16" s="45"/>
      <c r="AM16" s="45">
        <v>0</v>
      </c>
      <c r="AN16" s="45"/>
      <c r="AO16" s="45">
        <v>0</v>
      </c>
      <c r="AP16" s="45"/>
      <c r="AQ16" s="98">
        <f>+AG16+AI16+AK16-AM16+AO16</f>
        <v>497144</v>
      </c>
      <c r="AR16" s="98"/>
      <c r="AS16" s="106" t="s">
        <v>163</v>
      </c>
      <c r="AT16" s="45"/>
      <c r="AU16" s="106" t="s">
        <v>163</v>
      </c>
      <c r="AV16" s="45"/>
      <c r="AW16" s="45">
        <f>+C16-I16</f>
        <v>779214</v>
      </c>
      <c r="AX16" s="45"/>
      <c r="AY16" s="97" t="s">
        <v>16</v>
      </c>
      <c r="AZ16" s="45"/>
      <c r="BA16" s="45">
        <v>120000</v>
      </c>
      <c r="BB16" s="45"/>
      <c r="BC16" s="45">
        <v>612000</v>
      </c>
      <c r="BD16" s="45"/>
      <c r="BE16" s="45">
        <v>714966</v>
      </c>
      <c r="BF16" s="45"/>
      <c r="BG16" s="45">
        <v>28421</v>
      </c>
      <c r="BH16" s="45"/>
      <c r="BI16" s="45"/>
      <c r="BJ16" s="45"/>
      <c r="BK16" s="45">
        <f aca="true" t="shared" si="1" ref="BK16:BK79">SUM(BA16:BI16)</f>
        <v>1475387</v>
      </c>
      <c r="BL16" s="99"/>
    </row>
    <row r="17" spans="1:64" ht="11.25" customHeight="1" hidden="1">
      <c r="A17" s="28" t="s">
        <v>17</v>
      </c>
      <c r="C17" s="37"/>
      <c r="D17" s="37"/>
      <c r="E17" s="37"/>
      <c r="F17" s="37"/>
      <c r="G17" s="37"/>
      <c r="H17" s="37"/>
      <c r="I17" s="96"/>
      <c r="J17" s="96"/>
      <c r="K17" s="9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>
        <f t="shared" si="0"/>
        <v>0</v>
      </c>
      <c r="X17" s="37"/>
      <c r="Y17" s="78" t="s">
        <v>17</v>
      </c>
      <c r="Z17" s="37"/>
      <c r="AA17" s="37" t="s">
        <v>165</v>
      </c>
      <c r="AB17" s="37"/>
      <c r="AC17" s="37" t="s">
        <v>165</v>
      </c>
      <c r="AD17" s="37"/>
      <c r="AE17" s="37" t="s">
        <v>165</v>
      </c>
      <c r="AF17" s="37"/>
      <c r="AG17" s="37" t="s">
        <v>165</v>
      </c>
      <c r="AH17" s="37"/>
      <c r="AI17" s="37" t="s">
        <v>165</v>
      </c>
      <c r="AJ17" s="37"/>
      <c r="AK17" s="37" t="s">
        <v>165</v>
      </c>
      <c r="AL17" s="37"/>
      <c r="AM17" s="37" t="s">
        <v>165</v>
      </c>
      <c r="AN17" s="37"/>
      <c r="AO17" s="37" t="s">
        <v>165</v>
      </c>
      <c r="AP17" s="37"/>
      <c r="AQ17" s="37" t="s">
        <v>165</v>
      </c>
      <c r="AR17" s="37"/>
      <c r="AS17" s="37" t="s">
        <v>165</v>
      </c>
      <c r="AT17" s="37"/>
      <c r="AU17" s="37" t="s">
        <v>165</v>
      </c>
      <c r="AV17" s="37"/>
      <c r="AW17" s="37" t="s">
        <v>165</v>
      </c>
      <c r="AX17" s="37"/>
      <c r="AY17" s="78" t="s">
        <v>17</v>
      </c>
      <c r="AZ17" s="37"/>
      <c r="BA17" s="37" t="s">
        <v>165</v>
      </c>
      <c r="BB17" s="37"/>
      <c r="BC17" s="37" t="s">
        <v>165</v>
      </c>
      <c r="BD17" s="37"/>
      <c r="BE17" s="37" t="s">
        <v>165</v>
      </c>
      <c r="BF17" s="37"/>
      <c r="BG17" s="37" t="s">
        <v>165</v>
      </c>
      <c r="BH17" s="37"/>
      <c r="BI17" s="37"/>
      <c r="BJ17" s="37"/>
      <c r="BK17" s="34">
        <f t="shared" si="1"/>
        <v>0</v>
      </c>
      <c r="BL17" s="8"/>
    </row>
    <row r="18" spans="1:64" ht="12">
      <c r="A18" s="28" t="s">
        <v>18</v>
      </c>
      <c r="C18" s="37">
        <f aca="true" t="shared" si="2" ref="C18:C81">G18-E18</f>
        <v>3081707</v>
      </c>
      <c r="D18" s="37"/>
      <c r="E18" s="37">
        <f>305879+63039+8021+7783068+331+82426+8462+119420+425+185330+34301</f>
        <v>8590702</v>
      </c>
      <c r="F18" s="37"/>
      <c r="G18" s="37">
        <f>1431332+9688652+82757+226268+200704+42696</f>
        <v>11672409</v>
      </c>
      <c r="H18" s="37"/>
      <c r="I18" s="96">
        <f>M18-K18</f>
        <v>6464810</v>
      </c>
      <c r="J18" s="96"/>
      <c r="K18" s="96">
        <f>51500+8021+209808+331+8462+425+30192</f>
        <v>308739</v>
      </c>
      <c r="L18" s="37"/>
      <c r="M18" s="37">
        <f>106956+6554718+22331+47998+41546</f>
        <v>6773549</v>
      </c>
      <c r="N18" s="37"/>
      <c r="O18" s="37">
        <v>0</v>
      </c>
      <c r="P18" s="37"/>
      <c r="Q18" s="37">
        <v>0</v>
      </c>
      <c r="R18" s="37"/>
      <c r="S18" s="37">
        <f>1324376+3133934+60426+178270+159158+42696</f>
        <v>4898860</v>
      </c>
      <c r="T18" s="37"/>
      <c r="U18" s="37">
        <f aca="true" t="shared" si="3" ref="U18:U81">SUM(O18:S18)</f>
        <v>4898860</v>
      </c>
      <c r="V18" s="37"/>
      <c r="W18" s="37">
        <f t="shared" si="0"/>
        <v>0</v>
      </c>
      <c r="X18" s="37"/>
      <c r="Y18" s="78" t="s">
        <v>18</v>
      </c>
      <c r="Z18" s="37"/>
      <c r="AA18" s="34">
        <f>251136+955049+25110+47987+20556+8080</f>
        <v>1307918</v>
      </c>
      <c r="AB18" s="34"/>
      <c r="AC18" s="34">
        <f>350719+1020313+25661+42692+29727+1370-252951-6</f>
        <v>1217525</v>
      </c>
      <c r="AD18" s="34"/>
      <c r="AE18" s="34">
        <f>31790+186243+4454+6984+9740+13740</f>
        <v>252951</v>
      </c>
      <c r="AF18" s="34"/>
      <c r="AG18" s="38">
        <f aca="true" t="shared" si="4" ref="AG18:AG81">+AA18-AC18-AE18</f>
        <v>-162558</v>
      </c>
      <c r="AH18" s="38"/>
      <c r="AI18" s="38">
        <f>40733-126268-2244</f>
        <v>-87779</v>
      </c>
      <c r="AJ18" s="38"/>
      <c r="AK18" s="34">
        <f>181483+9928</f>
        <v>191411</v>
      </c>
      <c r="AL18" s="34"/>
      <c r="AM18" s="34">
        <v>9928</v>
      </c>
      <c r="AN18" s="34"/>
      <c r="AO18" s="34">
        <v>0</v>
      </c>
      <c r="AP18" s="34"/>
      <c r="AQ18" s="38">
        <f aca="true" t="shared" si="5" ref="AQ18:AQ81">+AG18+AI18+AK18-AM18+AO18</f>
        <v>-68854</v>
      </c>
      <c r="AR18" s="38"/>
      <c r="AS18" s="34">
        <f>13604+1555992</f>
        <v>1569596</v>
      </c>
      <c r="AT18" s="34"/>
      <c r="AU18" s="34">
        <f>973+306</f>
        <v>1279</v>
      </c>
      <c r="AV18" s="34"/>
      <c r="AW18" s="34">
        <f aca="true" t="shared" si="6" ref="AW18:AW81">+C18-I18</f>
        <v>-3383103</v>
      </c>
      <c r="AX18" s="34"/>
      <c r="AY18" s="78" t="s">
        <v>18</v>
      </c>
      <c r="AZ18" s="34"/>
      <c r="BA18" s="34">
        <f>209808+30192</f>
        <v>240000</v>
      </c>
      <c r="BB18" s="34"/>
      <c r="BC18" s="34">
        <f>45000</f>
        <v>45000</v>
      </c>
      <c r="BD18" s="34"/>
      <c r="BE18" s="34">
        <v>0</v>
      </c>
      <c r="BF18" s="34"/>
      <c r="BG18" s="34">
        <f>6500+8021+331+8462+425</f>
        <v>23739</v>
      </c>
      <c r="BH18" s="34"/>
      <c r="BI18" s="34"/>
      <c r="BJ18" s="34"/>
      <c r="BK18" s="34">
        <f t="shared" si="1"/>
        <v>308739</v>
      </c>
      <c r="BL18" s="8"/>
    </row>
    <row r="19" spans="1:64" ht="11.25" customHeight="1" hidden="1">
      <c r="A19" s="28" t="s">
        <v>99</v>
      </c>
      <c r="C19" s="37"/>
      <c r="D19" s="37"/>
      <c r="E19" s="37"/>
      <c r="F19" s="37"/>
      <c r="G19" s="37"/>
      <c r="H19" s="37"/>
      <c r="I19" s="96"/>
      <c r="J19" s="96"/>
      <c r="K19" s="9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f t="shared" si="0"/>
        <v>0</v>
      </c>
      <c r="X19" s="37"/>
      <c r="Y19" s="78" t="s">
        <v>99</v>
      </c>
      <c r="Z19" s="37"/>
      <c r="AA19" s="37" t="s">
        <v>165</v>
      </c>
      <c r="AB19" s="37"/>
      <c r="AC19" s="37" t="s">
        <v>165</v>
      </c>
      <c r="AD19" s="37"/>
      <c r="AE19" s="37" t="s">
        <v>165</v>
      </c>
      <c r="AF19" s="37"/>
      <c r="AG19" s="37" t="s">
        <v>165</v>
      </c>
      <c r="AH19" s="37"/>
      <c r="AI19" s="37" t="s">
        <v>165</v>
      </c>
      <c r="AJ19" s="37"/>
      <c r="AK19" s="37" t="s">
        <v>165</v>
      </c>
      <c r="AL19" s="37"/>
      <c r="AM19" s="37" t="s">
        <v>165</v>
      </c>
      <c r="AN19" s="37"/>
      <c r="AO19" s="37" t="s">
        <v>165</v>
      </c>
      <c r="AP19" s="37"/>
      <c r="AQ19" s="37" t="s">
        <v>165</v>
      </c>
      <c r="AR19" s="37"/>
      <c r="AS19" s="37" t="s">
        <v>165</v>
      </c>
      <c r="AT19" s="37"/>
      <c r="AU19" s="37" t="s">
        <v>165</v>
      </c>
      <c r="AV19" s="37"/>
      <c r="AW19" s="37" t="s">
        <v>165</v>
      </c>
      <c r="AX19" s="37"/>
      <c r="AY19" s="78" t="s">
        <v>99</v>
      </c>
      <c r="AZ19" s="37"/>
      <c r="BA19" s="37" t="s">
        <v>165</v>
      </c>
      <c r="BB19" s="37"/>
      <c r="BC19" s="37" t="s">
        <v>165</v>
      </c>
      <c r="BD19" s="37"/>
      <c r="BE19" s="37" t="s">
        <v>165</v>
      </c>
      <c r="BF19" s="37"/>
      <c r="BG19" s="37" t="s">
        <v>165</v>
      </c>
      <c r="BH19" s="37"/>
      <c r="BI19" s="37"/>
      <c r="BJ19" s="37"/>
      <c r="BK19" s="34">
        <f t="shared" si="1"/>
        <v>0</v>
      </c>
      <c r="BL19" s="8"/>
    </row>
    <row r="20" spans="1:64" ht="12">
      <c r="A20" s="28" t="s">
        <v>19</v>
      </c>
      <c r="C20" s="37">
        <f t="shared" si="2"/>
        <v>19575330</v>
      </c>
      <c r="D20" s="37"/>
      <c r="E20" s="37">
        <v>170137685</v>
      </c>
      <c r="F20" s="37"/>
      <c r="G20" s="37">
        <v>189713015</v>
      </c>
      <c r="H20" s="37"/>
      <c r="I20" s="96">
        <f>M20-K20</f>
        <v>3471529</v>
      </c>
      <c r="J20" s="96"/>
      <c r="K20" s="96">
        <v>65058406</v>
      </c>
      <c r="L20" s="37"/>
      <c r="M20" s="37">
        <v>68529935</v>
      </c>
      <c r="N20" s="37"/>
      <c r="O20" s="37">
        <v>90725415</v>
      </c>
      <c r="P20" s="37"/>
      <c r="Q20" s="37">
        <f>6012429+6575302</f>
        <v>12587731</v>
      </c>
      <c r="R20" s="37"/>
      <c r="S20" s="37">
        <v>17869934</v>
      </c>
      <c r="T20" s="37"/>
      <c r="U20" s="37">
        <f t="shared" si="3"/>
        <v>121183080</v>
      </c>
      <c r="V20" s="37"/>
      <c r="W20" s="37">
        <f t="shared" si="0"/>
        <v>0</v>
      </c>
      <c r="X20" s="37"/>
      <c r="Y20" s="78" t="s">
        <v>19</v>
      </c>
      <c r="Z20" s="37"/>
      <c r="AA20" s="37">
        <v>16854168</v>
      </c>
      <c r="AB20" s="37"/>
      <c r="AC20" s="37">
        <f>16642093-5572020</f>
        <v>11070073</v>
      </c>
      <c r="AD20" s="37"/>
      <c r="AE20" s="37">
        <v>5572020</v>
      </c>
      <c r="AF20" s="37"/>
      <c r="AG20" s="38">
        <f t="shared" si="4"/>
        <v>212075</v>
      </c>
      <c r="AH20" s="37"/>
      <c r="AI20" s="37">
        <v>-2924310</v>
      </c>
      <c r="AJ20" s="37"/>
      <c r="AK20" s="37">
        <v>374178</v>
      </c>
      <c r="AL20" s="37"/>
      <c r="AM20" s="37">
        <v>-99586</v>
      </c>
      <c r="AN20" s="37"/>
      <c r="AO20" s="37">
        <v>12313679</v>
      </c>
      <c r="AP20" s="37"/>
      <c r="AQ20" s="38">
        <f>+AG20+AI20+AK20-AM20+AO20</f>
        <v>10075208</v>
      </c>
      <c r="AR20" s="37"/>
      <c r="AS20" s="37">
        <v>3486611</v>
      </c>
      <c r="AT20" s="37"/>
      <c r="AU20" s="106" t="s">
        <v>163</v>
      </c>
      <c r="AV20" s="37"/>
      <c r="AW20" s="34">
        <f t="shared" si="6"/>
        <v>16103801</v>
      </c>
      <c r="AX20" s="37"/>
      <c r="AY20" s="78" t="s">
        <v>19</v>
      </c>
      <c r="AZ20" s="37"/>
      <c r="BA20" s="37">
        <v>918368</v>
      </c>
      <c r="BB20" s="37"/>
      <c r="BC20" s="37">
        <v>63703315</v>
      </c>
      <c r="BD20" s="37"/>
      <c r="BE20" s="37">
        <v>0</v>
      </c>
      <c r="BF20" s="37"/>
      <c r="BG20" s="37">
        <v>0</v>
      </c>
      <c r="BH20" s="37"/>
      <c r="BI20" s="37">
        <v>3040000</v>
      </c>
      <c r="BJ20" s="37"/>
      <c r="BK20" s="34">
        <f t="shared" si="1"/>
        <v>67661683</v>
      </c>
      <c r="BL20" s="8"/>
    </row>
    <row r="21" spans="1:64" ht="12">
      <c r="A21" s="28" t="s">
        <v>20</v>
      </c>
      <c r="C21" s="37">
        <f t="shared" si="2"/>
        <v>728282</v>
      </c>
      <c r="D21" s="37"/>
      <c r="E21" s="37">
        <v>7930341</v>
      </c>
      <c r="F21" s="37"/>
      <c r="G21" s="37">
        <v>8658623</v>
      </c>
      <c r="H21" s="37"/>
      <c r="I21" s="96">
        <f aca="true" t="shared" si="7" ref="I21:I81">M21-K21</f>
        <v>224893</v>
      </c>
      <c r="J21" s="96"/>
      <c r="K21" s="96">
        <f aca="true" t="shared" si="8" ref="K21:K81">SUM(BK21)</f>
        <v>3296041</v>
      </c>
      <c r="L21" s="37"/>
      <c r="M21" s="37">
        <v>3520934</v>
      </c>
      <c r="N21" s="37"/>
      <c r="O21" s="37">
        <v>0</v>
      </c>
      <c r="P21" s="37"/>
      <c r="Q21" s="37">
        <v>0</v>
      </c>
      <c r="R21" s="37"/>
      <c r="S21" s="37">
        <v>5137689</v>
      </c>
      <c r="T21" s="37"/>
      <c r="U21" s="37">
        <f t="shared" si="3"/>
        <v>5137689</v>
      </c>
      <c r="V21" s="37"/>
      <c r="W21" s="37">
        <f t="shared" si="0"/>
        <v>0</v>
      </c>
      <c r="X21" s="37"/>
      <c r="Y21" s="78" t="s">
        <v>20</v>
      </c>
      <c r="Z21" s="37"/>
      <c r="AA21" s="34">
        <v>640364</v>
      </c>
      <c r="AB21" s="34"/>
      <c r="AC21" s="34">
        <v>389892</v>
      </c>
      <c r="AD21" s="34"/>
      <c r="AE21" s="34">
        <v>140542</v>
      </c>
      <c r="AF21" s="34"/>
      <c r="AG21" s="38">
        <f t="shared" si="4"/>
        <v>109930</v>
      </c>
      <c r="AH21" s="38"/>
      <c r="AI21" s="38">
        <v>27909</v>
      </c>
      <c r="AJ21" s="38"/>
      <c r="AK21" s="34">
        <v>0</v>
      </c>
      <c r="AL21" s="34"/>
      <c r="AM21" s="34">
        <v>0</v>
      </c>
      <c r="AN21" s="34"/>
      <c r="AO21" s="34">
        <v>0</v>
      </c>
      <c r="AP21" s="34"/>
      <c r="AQ21" s="38">
        <f>+AG21+AI21+AK21-AM21+AO21</f>
        <v>137839</v>
      </c>
      <c r="AR21" s="38"/>
      <c r="AS21" s="34">
        <v>146916</v>
      </c>
      <c r="AT21" s="34"/>
      <c r="AU21" s="106" t="s">
        <v>163</v>
      </c>
      <c r="AV21" s="34"/>
      <c r="AW21" s="34">
        <f>+C21-I21</f>
        <v>503389</v>
      </c>
      <c r="AX21" s="34"/>
      <c r="AY21" s="78" t="s">
        <v>20</v>
      </c>
      <c r="AZ21" s="34"/>
      <c r="BA21" s="34">
        <v>0</v>
      </c>
      <c r="BB21" s="34"/>
      <c r="BC21" s="34">
        <f>3261400+34641</f>
        <v>3296041</v>
      </c>
      <c r="BD21" s="34"/>
      <c r="BE21" s="34">
        <v>0</v>
      </c>
      <c r="BF21" s="34"/>
      <c r="BG21" s="34">
        <v>0</v>
      </c>
      <c r="BH21" s="34"/>
      <c r="BI21" s="34"/>
      <c r="BJ21" s="34"/>
      <c r="BK21" s="34">
        <f t="shared" si="1"/>
        <v>3296041</v>
      </c>
      <c r="BL21" s="8"/>
    </row>
    <row r="22" spans="1:64" ht="11.25" customHeight="1" hidden="1">
      <c r="A22" s="13" t="s">
        <v>177</v>
      </c>
      <c r="B22" s="13"/>
      <c r="C22" s="37"/>
      <c r="D22" s="37"/>
      <c r="E22" s="37"/>
      <c r="F22" s="37"/>
      <c r="G22" s="37"/>
      <c r="H22" s="37"/>
      <c r="I22" s="96"/>
      <c r="J22" s="96"/>
      <c r="K22" s="9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f t="shared" si="0"/>
        <v>0</v>
      </c>
      <c r="X22" s="37"/>
      <c r="Y22" s="34" t="s">
        <v>177</v>
      </c>
      <c r="Z22" s="37"/>
      <c r="AA22" s="37" t="s">
        <v>165</v>
      </c>
      <c r="AB22" s="37"/>
      <c r="AC22" s="37" t="s">
        <v>165</v>
      </c>
      <c r="AD22" s="37"/>
      <c r="AE22" s="37" t="s">
        <v>165</v>
      </c>
      <c r="AF22" s="37"/>
      <c r="AG22" s="37" t="s">
        <v>165</v>
      </c>
      <c r="AH22" s="37"/>
      <c r="AI22" s="37" t="s">
        <v>165</v>
      </c>
      <c r="AJ22" s="37"/>
      <c r="AK22" s="37" t="s">
        <v>165</v>
      </c>
      <c r="AL22" s="37"/>
      <c r="AM22" s="37" t="s">
        <v>165</v>
      </c>
      <c r="AN22" s="37"/>
      <c r="AO22" s="37" t="s">
        <v>165</v>
      </c>
      <c r="AP22" s="37"/>
      <c r="AQ22" s="37" t="s">
        <v>165</v>
      </c>
      <c r="AR22" s="37"/>
      <c r="AS22" s="37" t="s">
        <v>165</v>
      </c>
      <c r="AT22" s="37"/>
      <c r="AU22" s="106" t="s">
        <v>163</v>
      </c>
      <c r="AV22" s="37"/>
      <c r="AW22" s="37" t="s">
        <v>165</v>
      </c>
      <c r="AX22" s="37"/>
      <c r="AY22" s="34" t="s">
        <v>177</v>
      </c>
      <c r="AZ22" s="37"/>
      <c r="BA22" s="37" t="s">
        <v>165</v>
      </c>
      <c r="BB22" s="37"/>
      <c r="BC22" s="37" t="s">
        <v>165</v>
      </c>
      <c r="BD22" s="37"/>
      <c r="BE22" s="37" t="s">
        <v>165</v>
      </c>
      <c r="BF22" s="37"/>
      <c r="BG22" s="37" t="s">
        <v>165</v>
      </c>
      <c r="BH22" s="37"/>
      <c r="BI22" s="37"/>
      <c r="BJ22" s="37"/>
      <c r="BK22" s="34">
        <f t="shared" si="1"/>
        <v>0</v>
      </c>
      <c r="BL22" s="8"/>
    </row>
    <row r="23" spans="1:64" ht="12">
      <c r="A23" s="28" t="s">
        <v>21</v>
      </c>
      <c r="C23" s="37">
        <f t="shared" si="2"/>
        <v>4525132</v>
      </c>
      <c r="D23" s="37"/>
      <c r="E23" s="37">
        <v>11237216</v>
      </c>
      <c r="F23" s="37"/>
      <c r="G23" s="37">
        <v>15762348</v>
      </c>
      <c r="H23" s="37"/>
      <c r="I23" s="96">
        <f t="shared" si="7"/>
        <v>1811360</v>
      </c>
      <c r="J23" s="96"/>
      <c r="K23" s="96">
        <f t="shared" si="8"/>
        <v>3651832</v>
      </c>
      <c r="L23" s="37"/>
      <c r="M23" s="37">
        <v>5463192</v>
      </c>
      <c r="N23" s="37"/>
      <c r="O23" s="37">
        <v>0</v>
      </c>
      <c r="P23" s="37"/>
      <c r="Q23" s="37">
        <v>0</v>
      </c>
      <c r="R23" s="37"/>
      <c r="S23" s="37">
        <v>10299156</v>
      </c>
      <c r="T23" s="37"/>
      <c r="U23" s="37">
        <f t="shared" si="3"/>
        <v>10299156</v>
      </c>
      <c r="V23" s="37"/>
      <c r="W23" s="37">
        <f t="shared" si="0"/>
        <v>0</v>
      </c>
      <c r="X23" s="37"/>
      <c r="Y23" s="78" t="s">
        <v>21</v>
      </c>
      <c r="Z23" s="37"/>
      <c r="AA23" s="34">
        <v>2966717</v>
      </c>
      <c r="AB23" s="34"/>
      <c r="AC23" s="34">
        <v>2803494</v>
      </c>
      <c r="AD23" s="34"/>
      <c r="AE23" s="34">
        <v>420249</v>
      </c>
      <c r="AF23" s="34"/>
      <c r="AG23" s="38">
        <f t="shared" si="4"/>
        <v>-257026</v>
      </c>
      <c r="AH23" s="38"/>
      <c r="AI23" s="38">
        <v>-456615</v>
      </c>
      <c r="AJ23" s="38"/>
      <c r="AK23" s="34">
        <v>0</v>
      </c>
      <c r="AL23" s="34"/>
      <c r="AM23" s="34">
        <v>0</v>
      </c>
      <c r="AN23" s="34"/>
      <c r="AO23" s="34">
        <v>0</v>
      </c>
      <c r="AP23" s="34"/>
      <c r="AQ23" s="38">
        <f t="shared" si="5"/>
        <v>-713641</v>
      </c>
      <c r="AR23" s="38"/>
      <c r="AS23" s="34">
        <v>237926</v>
      </c>
      <c r="AT23" s="34"/>
      <c r="AU23" s="106" t="s">
        <v>163</v>
      </c>
      <c r="AV23" s="34"/>
      <c r="AW23" s="34">
        <f t="shared" si="6"/>
        <v>2713772</v>
      </c>
      <c r="AX23" s="34"/>
      <c r="AY23" s="78" t="s">
        <v>21</v>
      </c>
      <c r="AZ23" s="34"/>
      <c r="BA23" s="34">
        <v>3585400</v>
      </c>
      <c r="BB23" s="34"/>
      <c r="BC23" s="34">
        <v>0</v>
      </c>
      <c r="BD23" s="34"/>
      <c r="BE23" s="34">
        <v>0</v>
      </c>
      <c r="BF23" s="34"/>
      <c r="BG23" s="34">
        <v>66432</v>
      </c>
      <c r="BH23" s="34"/>
      <c r="BI23" s="34"/>
      <c r="BJ23" s="34"/>
      <c r="BK23" s="34">
        <f t="shared" si="1"/>
        <v>3651832</v>
      </c>
      <c r="BL23" s="8"/>
    </row>
    <row r="24" spans="1:64" ht="12">
      <c r="A24" s="28" t="s">
        <v>194</v>
      </c>
      <c r="C24" s="37">
        <f t="shared" si="2"/>
        <v>46191045</v>
      </c>
      <c r="D24" s="37"/>
      <c r="E24" s="37">
        <v>139076627</v>
      </c>
      <c r="F24" s="37"/>
      <c r="G24" s="37">
        <v>185267672</v>
      </c>
      <c r="H24" s="37"/>
      <c r="I24" s="96">
        <f t="shared" si="7"/>
        <v>621912</v>
      </c>
      <c r="J24" s="96"/>
      <c r="K24" s="96">
        <v>49006850</v>
      </c>
      <c r="L24" s="37"/>
      <c r="M24" s="37">
        <v>49628762</v>
      </c>
      <c r="N24" s="37"/>
      <c r="O24" s="37">
        <v>79002277</v>
      </c>
      <c r="P24" s="37"/>
      <c r="Q24" s="37">
        <v>8728157</v>
      </c>
      <c r="R24" s="37"/>
      <c r="S24" s="37">
        <v>47908476</v>
      </c>
      <c r="T24" s="37"/>
      <c r="U24" s="37">
        <f t="shared" si="3"/>
        <v>135638910</v>
      </c>
      <c r="V24" s="37"/>
      <c r="W24" s="37">
        <f t="shared" si="0"/>
        <v>0</v>
      </c>
      <c r="X24" s="37"/>
      <c r="Y24" s="78" t="s">
        <v>194</v>
      </c>
      <c r="Z24" s="37"/>
      <c r="AA24" s="34">
        <v>13611285</v>
      </c>
      <c r="AB24" s="34"/>
      <c r="AC24" s="34">
        <f>12760074-6591225</f>
        <v>6168849</v>
      </c>
      <c r="AD24" s="34"/>
      <c r="AE24" s="34">
        <v>6591225</v>
      </c>
      <c r="AF24" s="34"/>
      <c r="AG24" s="38">
        <f t="shared" si="4"/>
        <v>851211</v>
      </c>
      <c r="AH24" s="38"/>
      <c r="AI24" s="38">
        <v>-766817</v>
      </c>
      <c r="AJ24" s="38"/>
      <c r="AK24" s="34">
        <v>260000</v>
      </c>
      <c r="AL24" s="34"/>
      <c r="AM24" s="34">
        <v>0</v>
      </c>
      <c r="AN24" s="34"/>
      <c r="AO24" s="34">
        <v>4601928</v>
      </c>
      <c r="AP24" s="34"/>
      <c r="AQ24" s="38">
        <f t="shared" si="5"/>
        <v>4946322</v>
      </c>
      <c r="AR24" s="38"/>
      <c r="AS24" s="34">
        <v>8887140</v>
      </c>
      <c r="AT24" s="34"/>
      <c r="AU24" s="106" t="s">
        <v>163</v>
      </c>
      <c r="AV24" s="34"/>
      <c r="AW24" s="34">
        <f t="shared" si="6"/>
        <v>45569133</v>
      </c>
      <c r="AX24" s="34"/>
      <c r="AY24" s="78" t="s">
        <v>194</v>
      </c>
      <c r="AZ24" s="34"/>
      <c r="BA24" s="34">
        <v>0</v>
      </c>
      <c r="BB24" s="34"/>
      <c r="BC24" s="34">
        <f>4595000+38320000</f>
        <v>42915000</v>
      </c>
      <c r="BD24" s="34"/>
      <c r="BE24" s="34">
        <v>48041546</v>
      </c>
      <c r="BF24" s="34"/>
      <c r="BG24" s="34">
        <v>0</v>
      </c>
      <c r="BH24" s="34"/>
      <c r="BI24" s="34">
        <v>1697057</v>
      </c>
      <c r="BJ24" s="34"/>
      <c r="BK24" s="34">
        <f t="shared" si="1"/>
        <v>92653603</v>
      </c>
      <c r="BL24" s="8"/>
    </row>
    <row r="25" spans="1:64" ht="11.25" customHeight="1" hidden="1">
      <c r="A25" s="28" t="s">
        <v>23</v>
      </c>
      <c r="C25" s="37"/>
      <c r="D25" s="37"/>
      <c r="E25" s="37"/>
      <c r="F25" s="37"/>
      <c r="G25" s="37"/>
      <c r="H25" s="37"/>
      <c r="I25" s="96"/>
      <c r="J25" s="96"/>
      <c r="K25" s="9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>
        <f t="shared" si="0"/>
        <v>0</v>
      </c>
      <c r="X25" s="37"/>
      <c r="Y25" s="78" t="s">
        <v>23</v>
      </c>
      <c r="Z25" s="37"/>
      <c r="AA25" s="37" t="s">
        <v>165</v>
      </c>
      <c r="AB25" s="37"/>
      <c r="AC25" s="37" t="s">
        <v>165</v>
      </c>
      <c r="AD25" s="37"/>
      <c r="AE25" s="37" t="s">
        <v>165</v>
      </c>
      <c r="AF25" s="37"/>
      <c r="AG25" s="37" t="s">
        <v>165</v>
      </c>
      <c r="AH25" s="37"/>
      <c r="AI25" s="37" t="s">
        <v>165</v>
      </c>
      <c r="AJ25" s="37"/>
      <c r="AK25" s="37" t="s">
        <v>165</v>
      </c>
      <c r="AL25" s="37"/>
      <c r="AM25" s="37" t="s">
        <v>165</v>
      </c>
      <c r="AN25" s="37"/>
      <c r="AO25" s="37" t="s">
        <v>165</v>
      </c>
      <c r="AP25" s="37"/>
      <c r="AQ25" s="37" t="s">
        <v>165</v>
      </c>
      <c r="AR25" s="37"/>
      <c r="AS25" s="37" t="s">
        <v>165</v>
      </c>
      <c r="AT25" s="37"/>
      <c r="AU25" s="106" t="s">
        <v>163</v>
      </c>
      <c r="AV25" s="37"/>
      <c r="AW25" s="37" t="s">
        <v>165</v>
      </c>
      <c r="AX25" s="37"/>
      <c r="AY25" s="78" t="s">
        <v>23</v>
      </c>
      <c r="AZ25" s="37"/>
      <c r="BA25" s="37" t="s">
        <v>165</v>
      </c>
      <c r="BB25" s="37"/>
      <c r="BC25" s="37" t="s">
        <v>165</v>
      </c>
      <c r="BD25" s="37"/>
      <c r="BE25" s="37" t="s">
        <v>165</v>
      </c>
      <c r="BF25" s="37"/>
      <c r="BG25" s="37" t="s">
        <v>165</v>
      </c>
      <c r="BH25" s="37"/>
      <c r="BI25" s="37"/>
      <c r="BJ25" s="37"/>
      <c r="BK25" s="34">
        <f t="shared" si="1"/>
        <v>0</v>
      </c>
      <c r="BL25" s="8"/>
    </row>
    <row r="26" spans="1:64" ht="11.25" customHeight="1" hidden="1">
      <c r="A26" s="28" t="s">
        <v>24</v>
      </c>
      <c r="C26" s="37">
        <f t="shared" si="2"/>
        <v>0</v>
      </c>
      <c r="D26" s="37"/>
      <c r="E26" s="37"/>
      <c r="F26" s="37"/>
      <c r="G26" s="37"/>
      <c r="H26" s="37"/>
      <c r="I26" s="96">
        <f t="shared" si="7"/>
        <v>0</v>
      </c>
      <c r="J26" s="96"/>
      <c r="K26" s="96">
        <f t="shared" si="8"/>
        <v>0</v>
      </c>
      <c r="L26" s="37"/>
      <c r="M26" s="37"/>
      <c r="N26" s="37"/>
      <c r="O26" s="37"/>
      <c r="P26" s="37"/>
      <c r="Q26" s="37"/>
      <c r="R26" s="37"/>
      <c r="S26" s="37"/>
      <c r="T26" s="37"/>
      <c r="U26" s="37">
        <f t="shared" si="3"/>
        <v>0</v>
      </c>
      <c r="V26" s="37"/>
      <c r="W26" s="37">
        <f t="shared" si="0"/>
        <v>0</v>
      </c>
      <c r="X26" s="37"/>
      <c r="Y26" s="78" t="s">
        <v>24</v>
      </c>
      <c r="Z26" s="37"/>
      <c r="AA26" s="34"/>
      <c r="AB26" s="34"/>
      <c r="AC26" s="34"/>
      <c r="AD26" s="34"/>
      <c r="AE26" s="34"/>
      <c r="AF26" s="34"/>
      <c r="AG26" s="38">
        <f t="shared" si="4"/>
        <v>0</v>
      </c>
      <c r="AH26" s="38"/>
      <c r="AI26" s="38"/>
      <c r="AJ26" s="38"/>
      <c r="AK26" s="34"/>
      <c r="AL26" s="34"/>
      <c r="AM26" s="34"/>
      <c r="AN26" s="34"/>
      <c r="AO26" s="34"/>
      <c r="AP26" s="34"/>
      <c r="AQ26" s="38">
        <f t="shared" si="5"/>
        <v>0</v>
      </c>
      <c r="AR26" s="38"/>
      <c r="AS26" s="34"/>
      <c r="AT26" s="34"/>
      <c r="AU26" s="106" t="s">
        <v>163</v>
      </c>
      <c r="AV26" s="34"/>
      <c r="AW26" s="34">
        <f t="shared" si="6"/>
        <v>0</v>
      </c>
      <c r="AX26" s="34"/>
      <c r="AY26" s="78" t="s">
        <v>24</v>
      </c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>
        <f t="shared" si="1"/>
        <v>0</v>
      </c>
      <c r="BL26" s="8"/>
    </row>
    <row r="27" spans="1:64" ht="11.25" customHeight="1" hidden="1">
      <c r="A27" s="28" t="s">
        <v>25</v>
      </c>
      <c r="C27" s="37">
        <f t="shared" si="2"/>
        <v>0</v>
      </c>
      <c r="D27" s="37"/>
      <c r="E27" s="37"/>
      <c r="F27" s="37"/>
      <c r="G27" s="37"/>
      <c r="H27" s="37"/>
      <c r="I27" s="96">
        <f t="shared" si="7"/>
        <v>0</v>
      </c>
      <c r="J27" s="96"/>
      <c r="K27" s="96">
        <f t="shared" si="8"/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>
        <f t="shared" si="3"/>
        <v>0</v>
      </c>
      <c r="V27" s="37"/>
      <c r="W27" s="37">
        <f t="shared" si="0"/>
        <v>0</v>
      </c>
      <c r="X27" s="37"/>
      <c r="Y27" s="78" t="s">
        <v>25</v>
      </c>
      <c r="Z27" s="37"/>
      <c r="AA27" s="34"/>
      <c r="AB27" s="34"/>
      <c r="AC27" s="34"/>
      <c r="AD27" s="34"/>
      <c r="AE27" s="34"/>
      <c r="AF27" s="34"/>
      <c r="AG27" s="38">
        <f t="shared" si="4"/>
        <v>0</v>
      </c>
      <c r="AH27" s="38"/>
      <c r="AI27" s="38"/>
      <c r="AJ27" s="38"/>
      <c r="AK27" s="34"/>
      <c r="AL27" s="34"/>
      <c r="AM27" s="34"/>
      <c r="AN27" s="34"/>
      <c r="AO27" s="34"/>
      <c r="AP27" s="34"/>
      <c r="AQ27" s="38">
        <f t="shared" si="5"/>
        <v>0</v>
      </c>
      <c r="AR27" s="38"/>
      <c r="AS27" s="34"/>
      <c r="AT27" s="34"/>
      <c r="AU27" s="106" t="s">
        <v>163</v>
      </c>
      <c r="AV27" s="34"/>
      <c r="AW27" s="34">
        <f t="shared" si="6"/>
        <v>0</v>
      </c>
      <c r="AX27" s="34"/>
      <c r="AY27" s="78" t="s">
        <v>25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>
        <f t="shared" si="1"/>
        <v>0</v>
      </c>
      <c r="BL27" s="8"/>
    </row>
    <row r="28" spans="1:64" ht="12">
      <c r="A28" s="28" t="s">
        <v>192</v>
      </c>
      <c r="C28" s="37">
        <f t="shared" si="2"/>
        <v>197956</v>
      </c>
      <c r="D28" s="37"/>
      <c r="E28" s="37">
        <v>1488087</v>
      </c>
      <c r="F28" s="37"/>
      <c r="G28" s="37">
        <v>1686043</v>
      </c>
      <c r="H28" s="37"/>
      <c r="I28" s="96">
        <f t="shared" si="7"/>
        <v>50449</v>
      </c>
      <c r="J28" s="96"/>
      <c r="K28" s="96">
        <f t="shared" si="8"/>
        <v>815246</v>
      </c>
      <c r="L28" s="37"/>
      <c r="M28" s="37">
        <v>865695</v>
      </c>
      <c r="N28" s="37"/>
      <c r="O28" s="37">
        <v>627841</v>
      </c>
      <c r="P28" s="37"/>
      <c r="Q28" s="37">
        <v>0</v>
      </c>
      <c r="R28" s="37"/>
      <c r="S28" s="37">
        <v>192507</v>
      </c>
      <c r="T28" s="37"/>
      <c r="U28" s="37">
        <f t="shared" si="3"/>
        <v>820348</v>
      </c>
      <c r="V28" s="37"/>
      <c r="W28" s="37">
        <f t="shared" si="0"/>
        <v>0</v>
      </c>
      <c r="X28" s="37"/>
      <c r="Y28" s="78" t="s">
        <v>192</v>
      </c>
      <c r="Z28" s="37"/>
      <c r="AA28" s="34">
        <v>175372</v>
      </c>
      <c r="AB28" s="34"/>
      <c r="AC28" s="34">
        <f>106412-44358</f>
        <v>62054</v>
      </c>
      <c r="AD28" s="34"/>
      <c r="AE28" s="34">
        <v>44358</v>
      </c>
      <c r="AF28" s="34"/>
      <c r="AG28" s="38">
        <f t="shared" si="4"/>
        <v>68960</v>
      </c>
      <c r="AH28" s="38"/>
      <c r="AI28" s="38">
        <v>-40015</v>
      </c>
      <c r="AJ28" s="38"/>
      <c r="AK28" s="34">
        <v>0</v>
      </c>
      <c r="AL28" s="34"/>
      <c r="AM28" s="34">
        <v>0</v>
      </c>
      <c r="AN28" s="34"/>
      <c r="AO28" s="34">
        <v>0</v>
      </c>
      <c r="AP28" s="34"/>
      <c r="AQ28" s="38">
        <f t="shared" si="5"/>
        <v>28945</v>
      </c>
      <c r="AR28" s="38"/>
      <c r="AS28" s="106" t="s">
        <v>163</v>
      </c>
      <c r="AT28" s="34"/>
      <c r="AU28" s="106" t="s">
        <v>163</v>
      </c>
      <c r="AV28" s="34"/>
      <c r="AW28" s="34">
        <f t="shared" si="6"/>
        <v>147507</v>
      </c>
      <c r="AX28" s="34"/>
      <c r="AY28" s="78" t="s">
        <v>192</v>
      </c>
      <c r="AZ28" s="34"/>
      <c r="BA28" s="34">
        <v>815246</v>
      </c>
      <c r="BB28" s="34"/>
      <c r="BC28" s="34">
        <v>0</v>
      </c>
      <c r="BD28" s="34"/>
      <c r="BE28" s="34">
        <v>0</v>
      </c>
      <c r="BF28" s="34"/>
      <c r="BG28" s="34">
        <v>0</v>
      </c>
      <c r="BH28" s="34"/>
      <c r="BI28" s="34"/>
      <c r="BJ28" s="34"/>
      <c r="BK28" s="34">
        <f t="shared" si="1"/>
        <v>815246</v>
      </c>
      <c r="BL28" s="8"/>
    </row>
    <row r="29" spans="1:64" ht="12">
      <c r="A29" s="28" t="s">
        <v>26</v>
      </c>
      <c r="C29" s="37">
        <f t="shared" si="2"/>
        <v>6915000</v>
      </c>
      <c r="D29" s="37"/>
      <c r="E29" s="37">
        <v>35631000</v>
      </c>
      <c r="F29" s="37"/>
      <c r="G29" s="37">
        <v>42546000</v>
      </c>
      <c r="H29" s="37"/>
      <c r="I29" s="96">
        <f t="shared" si="7"/>
        <v>8094000</v>
      </c>
      <c r="J29" s="96"/>
      <c r="K29" s="96">
        <f t="shared" si="8"/>
        <v>9491000</v>
      </c>
      <c r="L29" s="37"/>
      <c r="M29" s="37">
        <v>17585000</v>
      </c>
      <c r="N29" s="37"/>
      <c r="O29" s="37">
        <v>18217000</v>
      </c>
      <c r="P29" s="37"/>
      <c r="Q29" s="37">
        <v>0</v>
      </c>
      <c r="R29" s="37"/>
      <c r="S29" s="37">
        <v>6744000</v>
      </c>
      <c r="T29" s="37"/>
      <c r="U29" s="37">
        <f t="shared" si="3"/>
        <v>24961000</v>
      </c>
      <c r="V29" s="37"/>
      <c r="W29" s="37">
        <f t="shared" si="0"/>
        <v>0</v>
      </c>
      <c r="X29" s="37"/>
      <c r="Y29" s="78" t="s">
        <v>26</v>
      </c>
      <c r="Z29" s="37"/>
      <c r="AA29" s="34">
        <v>9680000</v>
      </c>
      <c r="AB29" s="34"/>
      <c r="AC29" s="34">
        <f>10766000-1605000</f>
        <v>9161000</v>
      </c>
      <c r="AD29" s="34"/>
      <c r="AE29" s="34">
        <v>1605000</v>
      </c>
      <c r="AF29" s="34"/>
      <c r="AG29" s="38">
        <f t="shared" si="4"/>
        <v>-1086000</v>
      </c>
      <c r="AH29" s="38"/>
      <c r="AI29" s="38">
        <v>-464000</v>
      </c>
      <c r="AJ29" s="38"/>
      <c r="AK29" s="34">
        <v>0</v>
      </c>
      <c r="AL29" s="34"/>
      <c r="AM29" s="34">
        <v>0</v>
      </c>
      <c r="AN29" s="34"/>
      <c r="AO29" s="34">
        <v>0</v>
      </c>
      <c r="AP29" s="34"/>
      <c r="AQ29" s="38">
        <f t="shared" si="5"/>
        <v>-1550000</v>
      </c>
      <c r="AR29" s="38"/>
      <c r="AS29" s="106" t="s">
        <v>163</v>
      </c>
      <c r="AT29" s="34"/>
      <c r="AU29" s="106" t="s">
        <v>163</v>
      </c>
      <c r="AV29" s="34"/>
      <c r="AW29" s="34">
        <f t="shared" si="6"/>
        <v>-1179000</v>
      </c>
      <c r="AX29" s="34"/>
      <c r="AY29" s="78" t="s">
        <v>26</v>
      </c>
      <c r="AZ29" s="34"/>
      <c r="BA29" s="34">
        <v>0</v>
      </c>
      <c r="BB29" s="34"/>
      <c r="BC29" s="34">
        <v>2345000</v>
      </c>
      <c r="BD29" s="34"/>
      <c r="BE29" s="34">
        <v>5725000</v>
      </c>
      <c r="BF29" s="34"/>
      <c r="BG29" s="34">
        <v>1421000</v>
      </c>
      <c r="BH29" s="34"/>
      <c r="BI29" s="34"/>
      <c r="BJ29" s="34"/>
      <c r="BK29" s="34">
        <f t="shared" si="1"/>
        <v>9491000</v>
      </c>
      <c r="BL29" s="8"/>
    </row>
    <row r="30" spans="1:64" ht="12">
      <c r="A30" s="28" t="s">
        <v>27</v>
      </c>
      <c r="C30" s="37">
        <f t="shared" si="2"/>
        <v>141277</v>
      </c>
      <c r="D30" s="37"/>
      <c r="E30" s="37">
        <f>+G30-141277</f>
        <v>426154</v>
      </c>
      <c r="F30" s="37"/>
      <c r="G30" s="37">
        <f>126791+440640</f>
        <v>567431</v>
      </c>
      <c r="H30" s="37"/>
      <c r="I30" s="96">
        <f t="shared" si="7"/>
        <v>71382</v>
      </c>
      <c r="J30" s="96"/>
      <c r="K30" s="96">
        <f t="shared" si="8"/>
        <v>58500</v>
      </c>
      <c r="L30" s="37"/>
      <c r="M30" s="37">
        <v>129882</v>
      </c>
      <c r="N30" s="37"/>
      <c r="O30" s="37">
        <v>0</v>
      </c>
      <c r="P30" s="37"/>
      <c r="Q30" s="37">
        <v>0</v>
      </c>
      <c r="R30" s="37"/>
      <c r="S30" s="37">
        <f>6504+431045</f>
        <v>437549</v>
      </c>
      <c r="T30" s="37"/>
      <c r="U30" s="37">
        <f t="shared" si="3"/>
        <v>437549</v>
      </c>
      <c r="V30" s="37"/>
      <c r="W30" s="37">
        <f t="shared" si="0"/>
        <v>0</v>
      </c>
      <c r="X30" s="37"/>
      <c r="Y30" s="78" t="s">
        <v>27</v>
      </c>
      <c r="Z30" s="37"/>
      <c r="AA30" s="34">
        <f>54509+228656</f>
        <v>283165</v>
      </c>
      <c r="AB30" s="34"/>
      <c r="AC30" s="34">
        <v>353643</v>
      </c>
      <c r="AD30" s="34"/>
      <c r="AE30" s="34">
        <v>0</v>
      </c>
      <c r="AF30" s="34"/>
      <c r="AG30" s="38">
        <f t="shared" si="4"/>
        <v>-70478</v>
      </c>
      <c r="AH30" s="38"/>
      <c r="AI30" s="38">
        <v>-469</v>
      </c>
      <c r="AJ30" s="38"/>
      <c r="AK30" s="34">
        <v>0</v>
      </c>
      <c r="AL30" s="34"/>
      <c r="AM30" s="34">
        <v>0</v>
      </c>
      <c r="AN30" s="34"/>
      <c r="AO30" s="34">
        <v>0</v>
      </c>
      <c r="AP30" s="34"/>
      <c r="AQ30" s="38">
        <f t="shared" si="5"/>
        <v>-70947</v>
      </c>
      <c r="AR30" s="38"/>
      <c r="AS30" s="106" t="s">
        <v>163</v>
      </c>
      <c r="AT30" s="34"/>
      <c r="AU30" s="106" t="s">
        <v>163</v>
      </c>
      <c r="AV30" s="34"/>
      <c r="AW30" s="34">
        <f t="shared" si="6"/>
        <v>69895</v>
      </c>
      <c r="AX30" s="34"/>
      <c r="AY30" s="78" t="s">
        <v>27</v>
      </c>
      <c r="AZ30" s="34"/>
      <c r="BA30" s="34">
        <v>0</v>
      </c>
      <c r="BB30" s="34"/>
      <c r="BC30" s="34">
        <v>0</v>
      </c>
      <c r="BD30" s="34"/>
      <c r="BE30" s="34">
        <v>0</v>
      </c>
      <c r="BF30" s="34"/>
      <c r="BG30" s="34">
        <v>58500</v>
      </c>
      <c r="BH30" s="34"/>
      <c r="BI30" s="34"/>
      <c r="BJ30" s="34"/>
      <c r="BK30" s="34">
        <f t="shared" si="1"/>
        <v>58500</v>
      </c>
      <c r="BL30" s="8"/>
    </row>
    <row r="31" spans="1:64" ht="12">
      <c r="A31" s="28" t="s">
        <v>28</v>
      </c>
      <c r="C31" s="37">
        <f t="shared" si="2"/>
        <v>354904</v>
      </c>
      <c r="D31" s="37"/>
      <c r="E31" s="37">
        <v>353537</v>
      </c>
      <c r="F31" s="37"/>
      <c r="G31" s="37">
        <v>708441</v>
      </c>
      <c r="H31" s="37"/>
      <c r="I31" s="96">
        <f t="shared" si="7"/>
        <v>36507</v>
      </c>
      <c r="J31" s="96"/>
      <c r="K31" s="96">
        <v>226742</v>
      </c>
      <c r="L31" s="37"/>
      <c r="M31" s="37">
        <f>708441-445192</f>
        <v>263249</v>
      </c>
      <c r="N31" s="37"/>
      <c r="O31" s="37">
        <v>0</v>
      </c>
      <c r="P31" s="37"/>
      <c r="Q31" s="37">
        <v>0</v>
      </c>
      <c r="R31" s="37"/>
      <c r="S31" s="37">
        <v>445192</v>
      </c>
      <c r="T31" s="37"/>
      <c r="U31" s="37">
        <f t="shared" si="3"/>
        <v>445192</v>
      </c>
      <c r="V31" s="37"/>
      <c r="W31" s="37">
        <f t="shared" si="0"/>
        <v>0</v>
      </c>
      <c r="X31" s="37"/>
      <c r="Y31" s="78" t="s">
        <v>28</v>
      </c>
      <c r="Z31" s="37"/>
      <c r="AA31" s="34">
        <v>504394</v>
      </c>
      <c r="AB31" s="34"/>
      <c r="AC31" s="34">
        <v>137345</v>
      </c>
      <c r="AD31" s="34"/>
      <c r="AE31" s="34">
        <v>34195</v>
      </c>
      <c r="AF31" s="34"/>
      <c r="AG31" s="38">
        <f t="shared" si="4"/>
        <v>332854</v>
      </c>
      <c r="AH31" s="38"/>
      <c r="AI31" s="38">
        <f>348753-332854</f>
        <v>15899</v>
      </c>
      <c r="AJ31" s="38"/>
      <c r="AK31" s="34">
        <v>0</v>
      </c>
      <c r="AL31" s="34"/>
      <c r="AM31" s="34">
        <v>0</v>
      </c>
      <c r="AN31" s="34"/>
      <c r="AO31" s="34">
        <v>0</v>
      </c>
      <c r="AP31" s="34"/>
      <c r="AQ31" s="38">
        <f t="shared" si="5"/>
        <v>348753</v>
      </c>
      <c r="AR31" s="38"/>
      <c r="AS31" s="34">
        <v>143117</v>
      </c>
      <c r="AT31" s="34"/>
      <c r="AU31" s="34">
        <v>2496</v>
      </c>
      <c r="AV31" s="34"/>
      <c r="AW31" s="34">
        <f t="shared" si="6"/>
        <v>318397</v>
      </c>
      <c r="AX31" s="34"/>
      <c r="AY31" s="78" t="s">
        <v>28</v>
      </c>
      <c r="AZ31" s="34"/>
      <c r="BA31" s="34">
        <v>75000</v>
      </c>
      <c r="BB31" s="34"/>
      <c r="BC31" s="34">
        <v>0</v>
      </c>
      <c r="BD31" s="34"/>
      <c r="BE31" s="34">
        <f>4767+102000</f>
        <v>106767</v>
      </c>
      <c r="BF31" s="34"/>
      <c r="BG31" s="34">
        <v>0</v>
      </c>
      <c r="BH31" s="34"/>
      <c r="BI31" s="34">
        <f>4000+15000</f>
        <v>19000</v>
      </c>
      <c r="BJ31" s="34"/>
      <c r="BK31" s="34">
        <f t="shared" si="1"/>
        <v>200767</v>
      </c>
      <c r="BL31" s="8"/>
    </row>
    <row r="32" spans="1:64" ht="12">
      <c r="A32" s="28" t="s">
        <v>29</v>
      </c>
      <c r="C32" s="37">
        <f t="shared" si="2"/>
        <v>39835018</v>
      </c>
      <c r="D32" s="37"/>
      <c r="E32" s="37">
        <f>155822000+188676</f>
        <v>156010676</v>
      </c>
      <c r="F32" s="37"/>
      <c r="G32" s="37">
        <f>1137585+20424+194687685</f>
        <v>195845694</v>
      </c>
      <c r="H32" s="37"/>
      <c r="I32" s="96">
        <f t="shared" si="7"/>
        <v>5604816</v>
      </c>
      <c r="J32" s="96"/>
      <c r="K32" s="96">
        <f t="shared" si="8"/>
        <v>60238997</v>
      </c>
      <c r="L32" s="37"/>
      <c r="M32" s="37">
        <f>64+1119+65842630</f>
        <v>65843813</v>
      </c>
      <c r="N32" s="37"/>
      <c r="O32" s="37">
        <f>88473136+188676</f>
        <v>88661812</v>
      </c>
      <c r="P32" s="37"/>
      <c r="Q32" s="37">
        <f>2999794</f>
        <v>2999794</v>
      </c>
      <c r="R32" s="37"/>
      <c r="S32" s="37">
        <f>19305+948845+37372122+3</f>
        <v>38340275</v>
      </c>
      <c r="T32" s="37"/>
      <c r="U32" s="37">
        <f t="shared" si="3"/>
        <v>130001881</v>
      </c>
      <c r="V32" s="37"/>
      <c r="W32" s="37">
        <f t="shared" si="0"/>
        <v>0</v>
      </c>
      <c r="X32" s="37"/>
      <c r="Y32" s="78" t="s">
        <v>29</v>
      </c>
      <c r="Z32" s="37"/>
      <c r="AA32" s="34">
        <f>8440635+124275</f>
        <v>8564910</v>
      </c>
      <c r="AB32" s="34"/>
      <c r="AC32" s="34">
        <f>9170175+8762-6828-5377913</f>
        <v>3794196</v>
      </c>
      <c r="AD32" s="34"/>
      <c r="AE32" s="34">
        <f>6828+5377913</f>
        <v>5384741</v>
      </c>
      <c r="AF32" s="34"/>
      <c r="AG32" s="38">
        <f t="shared" si="4"/>
        <v>-614027</v>
      </c>
      <c r="AH32" s="38"/>
      <c r="AI32" s="38">
        <f>-3517865</f>
        <v>-3517865</v>
      </c>
      <c r="AJ32" s="38"/>
      <c r="AK32" s="34">
        <v>0</v>
      </c>
      <c r="AL32" s="34"/>
      <c r="AM32" s="34">
        <v>0</v>
      </c>
      <c r="AN32" s="34"/>
      <c r="AO32" s="34">
        <v>0</v>
      </c>
      <c r="AP32" s="34"/>
      <c r="AQ32" s="38">
        <f t="shared" si="5"/>
        <v>-4131892</v>
      </c>
      <c r="AR32" s="38"/>
      <c r="AS32" s="106" t="s">
        <v>163</v>
      </c>
      <c r="AT32" s="34"/>
      <c r="AU32" s="106" t="s">
        <v>163</v>
      </c>
      <c r="AV32" s="34"/>
      <c r="AW32" s="34">
        <f t="shared" si="6"/>
        <v>34230202</v>
      </c>
      <c r="AX32" s="34"/>
      <c r="AY32" s="78" t="s">
        <v>29</v>
      </c>
      <c r="AZ32" s="34"/>
      <c r="BA32" s="34">
        <v>59759815</v>
      </c>
      <c r="BB32" s="34"/>
      <c r="BC32" s="34">
        <v>0</v>
      </c>
      <c r="BD32" s="34"/>
      <c r="BE32" s="34">
        <v>412233</v>
      </c>
      <c r="BF32" s="34"/>
      <c r="BG32" s="34">
        <f>66949</f>
        <v>66949</v>
      </c>
      <c r="BH32" s="34"/>
      <c r="BI32" s="34"/>
      <c r="BJ32" s="34"/>
      <c r="BK32" s="34">
        <f t="shared" si="1"/>
        <v>60238997</v>
      </c>
      <c r="BL32" s="8"/>
    </row>
    <row r="33" spans="1:64" ht="12">
      <c r="A33" s="28" t="s">
        <v>30</v>
      </c>
      <c r="C33" s="37">
        <f t="shared" si="2"/>
        <v>3764011</v>
      </c>
      <c r="D33" s="37"/>
      <c r="E33" s="37">
        <v>45916307</v>
      </c>
      <c r="F33" s="37"/>
      <c r="G33" s="37">
        <v>49680318</v>
      </c>
      <c r="H33" s="37"/>
      <c r="I33" s="96">
        <f t="shared" si="7"/>
        <v>1095932</v>
      </c>
      <c r="J33" s="96"/>
      <c r="K33" s="96">
        <f t="shared" si="8"/>
        <v>14874913</v>
      </c>
      <c r="L33" s="37"/>
      <c r="M33" s="37">
        <v>15970845</v>
      </c>
      <c r="N33" s="37"/>
      <c r="O33" s="37">
        <v>0</v>
      </c>
      <c r="P33" s="37"/>
      <c r="Q33" s="37">
        <v>0</v>
      </c>
      <c r="R33" s="37"/>
      <c r="S33" s="37">
        <v>33709473</v>
      </c>
      <c r="T33" s="37"/>
      <c r="U33" s="37">
        <f t="shared" si="3"/>
        <v>33709473</v>
      </c>
      <c r="V33" s="37"/>
      <c r="W33" s="37">
        <f t="shared" si="0"/>
        <v>0</v>
      </c>
      <c r="X33" s="37"/>
      <c r="Y33" s="78" t="s">
        <v>30</v>
      </c>
      <c r="Z33" s="37"/>
      <c r="AA33" s="34">
        <v>6164153</v>
      </c>
      <c r="AB33" s="34"/>
      <c r="AC33" s="34">
        <f>6592344-1625611</f>
        <v>4966733</v>
      </c>
      <c r="AD33" s="34"/>
      <c r="AE33" s="34">
        <v>1625611</v>
      </c>
      <c r="AF33" s="34"/>
      <c r="AG33" s="38">
        <f t="shared" si="4"/>
        <v>-428191</v>
      </c>
      <c r="AH33" s="38"/>
      <c r="AI33" s="38">
        <f>607091-1102774+5974</f>
        <v>-489709</v>
      </c>
      <c r="AJ33" s="38"/>
      <c r="AK33" s="34">
        <v>109738</v>
      </c>
      <c r="AL33" s="34"/>
      <c r="AM33" s="34">
        <v>0</v>
      </c>
      <c r="AN33" s="34"/>
      <c r="AO33" s="34">
        <v>200730</v>
      </c>
      <c r="AP33" s="34"/>
      <c r="AQ33" s="38">
        <f t="shared" si="5"/>
        <v>-607432</v>
      </c>
      <c r="AR33" s="38"/>
      <c r="AS33" s="34">
        <v>1684172</v>
      </c>
      <c r="AT33" s="34"/>
      <c r="AU33" s="106" t="s">
        <v>163</v>
      </c>
      <c r="AV33" s="34"/>
      <c r="AW33" s="34">
        <f t="shared" si="6"/>
        <v>2668079</v>
      </c>
      <c r="AX33" s="34"/>
      <c r="AY33" s="78" t="s">
        <v>30</v>
      </c>
      <c r="AZ33" s="34"/>
      <c r="BA33" s="34">
        <v>7978165</v>
      </c>
      <c r="BB33" s="34"/>
      <c r="BC33" s="34">
        <v>0</v>
      </c>
      <c r="BD33" s="34"/>
      <c r="BE33" s="34">
        <f>5183428+393320</f>
        <v>5576748</v>
      </c>
      <c r="BF33" s="34"/>
      <c r="BG33" s="34">
        <v>1320000</v>
      </c>
      <c r="BH33" s="34"/>
      <c r="BI33" s="34"/>
      <c r="BJ33" s="34"/>
      <c r="BK33" s="34">
        <f t="shared" si="1"/>
        <v>14874913</v>
      </c>
      <c r="BL33" s="8"/>
    </row>
    <row r="34" spans="1:75" ht="12">
      <c r="A34" s="28" t="s">
        <v>31</v>
      </c>
      <c r="C34" s="37">
        <f t="shared" si="2"/>
        <v>5750591</v>
      </c>
      <c r="D34" s="37"/>
      <c r="E34" s="37">
        <v>22851753</v>
      </c>
      <c r="F34" s="37"/>
      <c r="G34" s="37">
        <v>28602344</v>
      </c>
      <c r="H34" s="37"/>
      <c r="I34" s="96">
        <f t="shared" si="7"/>
        <v>7518382</v>
      </c>
      <c r="J34" s="96"/>
      <c r="K34" s="96">
        <f t="shared" si="8"/>
        <v>6857601</v>
      </c>
      <c r="L34" s="37"/>
      <c r="M34" s="37">
        <v>14375983</v>
      </c>
      <c r="N34" s="37"/>
      <c r="O34" s="37">
        <v>0</v>
      </c>
      <c r="P34" s="37"/>
      <c r="Q34" s="37">
        <v>0</v>
      </c>
      <c r="R34" s="37"/>
      <c r="S34" s="37">
        <v>14226361</v>
      </c>
      <c r="T34" s="37"/>
      <c r="U34" s="37">
        <f t="shared" si="3"/>
        <v>14226361</v>
      </c>
      <c r="V34" s="37"/>
      <c r="W34" s="37">
        <f t="shared" si="0"/>
        <v>0</v>
      </c>
      <c r="X34" s="37"/>
      <c r="Y34" s="78" t="s">
        <v>31</v>
      </c>
      <c r="Z34" s="37"/>
      <c r="AA34" s="34">
        <v>2267955</v>
      </c>
      <c r="AB34" s="34"/>
      <c r="AC34" s="34">
        <f>1823786-508658</f>
        <v>1315128</v>
      </c>
      <c r="AD34" s="34"/>
      <c r="AE34" s="34">
        <v>508658</v>
      </c>
      <c r="AF34" s="34"/>
      <c r="AG34" s="38">
        <f t="shared" si="4"/>
        <v>444169</v>
      </c>
      <c r="AH34" s="38"/>
      <c r="AI34" s="38">
        <v>269824</v>
      </c>
      <c r="AJ34" s="38"/>
      <c r="AK34" s="34">
        <v>3522</v>
      </c>
      <c r="AL34" s="34"/>
      <c r="AM34" s="34">
        <v>0</v>
      </c>
      <c r="AN34" s="34"/>
      <c r="AO34" s="34">
        <v>0</v>
      </c>
      <c r="AP34" s="34"/>
      <c r="AQ34" s="38">
        <f t="shared" si="5"/>
        <v>717515</v>
      </c>
      <c r="AR34" s="38"/>
      <c r="AS34" s="106" t="s">
        <v>163</v>
      </c>
      <c r="AT34" s="34"/>
      <c r="AU34" s="106" t="s">
        <v>163</v>
      </c>
      <c r="AV34" s="34"/>
      <c r="AW34" s="34">
        <f t="shared" si="6"/>
        <v>-1767791</v>
      </c>
      <c r="AX34" s="34"/>
      <c r="AY34" s="78" t="s">
        <v>31</v>
      </c>
      <c r="AZ34" s="34"/>
      <c r="BA34" s="34">
        <v>4752500</v>
      </c>
      <c r="BB34" s="34"/>
      <c r="BC34" s="34">
        <v>0</v>
      </c>
      <c r="BD34" s="34"/>
      <c r="BE34" s="34">
        <v>2056706</v>
      </c>
      <c r="BF34" s="34"/>
      <c r="BG34" s="34">
        <f>42899+5496</f>
        <v>48395</v>
      </c>
      <c r="BH34" s="34"/>
      <c r="BI34" s="34"/>
      <c r="BJ34" s="34"/>
      <c r="BK34" s="34">
        <f t="shared" si="1"/>
        <v>6857601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</row>
    <row r="35" spans="1:64" ht="11.25" customHeight="1" hidden="1">
      <c r="A35" s="28" t="s">
        <v>32</v>
      </c>
      <c r="C35" s="37"/>
      <c r="D35" s="37"/>
      <c r="E35" s="37"/>
      <c r="F35" s="37"/>
      <c r="G35" s="37"/>
      <c r="H35" s="37"/>
      <c r="I35" s="96"/>
      <c r="J35" s="96"/>
      <c r="K35" s="9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>
        <f t="shared" si="0"/>
        <v>0</v>
      </c>
      <c r="X35" s="37"/>
      <c r="Y35" s="78" t="s">
        <v>32</v>
      </c>
      <c r="Z35" s="37"/>
      <c r="AA35" s="37" t="s">
        <v>165</v>
      </c>
      <c r="AB35" s="37"/>
      <c r="AC35" s="37" t="s">
        <v>165</v>
      </c>
      <c r="AD35" s="37"/>
      <c r="AE35" s="37" t="s">
        <v>165</v>
      </c>
      <c r="AF35" s="37"/>
      <c r="AG35" s="37" t="s">
        <v>165</v>
      </c>
      <c r="AH35" s="37"/>
      <c r="AI35" s="37" t="s">
        <v>165</v>
      </c>
      <c r="AJ35" s="37"/>
      <c r="AK35" s="37" t="s">
        <v>165</v>
      </c>
      <c r="AL35" s="37"/>
      <c r="AM35" s="37" t="s">
        <v>165</v>
      </c>
      <c r="AN35" s="37"/>
      <c r="AO35" s="37" t="s">
        <v>165</v>
      </c>
      <c r="AP35" s="37"/>
      <c r="AQ35" s="37" t="s">
        <v>165</v>
      </c>
      <c r="AR35" s="37"/>
      <c r="AS35" s="106" t="s">
        <v>163</v>
      </c>
      <c r="AT35" s="37"/>
      <c r="AU35" s="106" t="s">
        <v>163</v>
      </c>
      <c r="AV35" s="37"/>
      <c r="AW35" s="37" t="s">
        <v>165</v>
      </c>
      <c r="AX35" s="37"/>
      <c r="AY35" s="78" t="s">
        <v>32</v>
      </c>
      <c r="AZ35" s="37"/>
      <c r="BA35" s="37" t="s">
        <v>165</v>
      </c>
      <c r="BB35" s="37"/>
      <c r="BC35" s="37" t="s">
        <v>165</v>
      </c>
      <c r="BD35" s="37"/>
      <c r="BE35" s="37" t="s">
        <v>165</v>
      </c>
      <c r="BF35" s="37"/>
      <c r="BG35" s="37" t="s">
        <v>165</v>
      </c>
      <c r="BH35" s="37"/>
      <c r="BI35" s="37"/>
      <c r="BJ35" s="37"/>
      <c r="BK35" s="34">
        <f t="shared" si="1"/>
        <v>0</v>
      </c>
      <c r="BL35" s="8"/>
    </row>
    <row r="36" spans="1:64" ht="11.25" customHeight="1" hidden="1">
      <c r="A36" s="28" t="s">
        <v>33</v>
      </c>
      <c r="C36" s="37"/>
      <c r="D36" s="37"/>
      <c r="E36" s="37"/>
      <c r="F36" s="37"/>
      <c r="G36" s="37"/>
      <c r="H36" s="37"/>
      <c r="I36" s="96"/>
      <c r="J36" s="96"/>
      <c r="K36" s="9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>
        <f t="shared" si="0"/>
        <v>0</v>
      </c>
      <c r="X36" s="37"/>
      <c r="Y36" s="78" t="s">
        <v>33</v>
      </c>
      <c r="Z36" s="37"/>
      <c r="AA36" s="37" t="s">
        <v>165</v>
      </c>
      <c r="AB36" s="37"/>
      <c r="AC36" s="37" t="s">
        <v>165</v>
      </c>
      <c r="AD36" s="37"/>
      <c r="AE36" s="37" t="s">
        <v>165</v>
      </c>
      <c r="AF36" s="37"/>
      <c r="AG36" s="37" t="s">
        <v>165</v>
      </c>
      <c r="AH36" s="37"/>
      <c r="AI36" s="37" t="s">
        <v>165</v>
      </c>
      <c r="AJ36" s="37"/>
      <c r="AK36" s="37" t="s">
        <v>165</v>
      </c>
      <c r="AL36" s="37"/>
      <c r="AM36" s="37" t="s">
        <v>165</v>
      </c>
      <c r="AN36" s="37"/>
      <c r="AO36" s="37" t="s">
        <v>165</v>
      </c>
      <c r="AP36" s="37"/>
      <c r="AQ36" s="37" t="s">
        <v>165</v>
      </c>
      <c r="AR36" s="37"/>
      <c r="AS36" s="106" t="s">
        <v>163</v>
      </c>
      <c r="AT36" s="37"/>
      <c r="AU36" s="106" t="s">
        <v>163</v>
      </c>
      <c r="AV36" s="37"/>
      <c r="AW36" s="37" t="s">
        <v>165</v>
      </c>
      <c r="AX36" s="37"/>
      <c r="AY36" s="78" t="s">
        <v>33</v>
      </c>
      <c r="AZ36" s="37"/>
      <c r="BA36" s="37" t="s">
        <v>165</v>
      </c>
      <c r="BB36" s="37"/>
      <c r="BC36" s="37" t="s">
        <v>165</v>
      </c>
      <c r="BD36" s="37"/>
      <c r="BE36" s="37" t="s">
        <v>165</v>
      </c>
      <c r="BF36" s="37"/>
      <c r="BG36" s="37" t="s">
        <v>165</v>
      </c>
      <c r="BH36" s="37"/>
      <c r="BI36" s="37"/>
      <c r="BJ36" s="37"/>
      <c r="BK36" s="34">
        <f t="shared" si="1"/>
        <v>0</v>
      </c>
      <c r="BL36" s="8"/>
    </row>
    <row r="37" spans="1:64" ht="12">
      <c r="A37" s="28" t="s">
        <v>34</v>
      </c>
      <c r="C37" s="37">
        <f t="shared" si="2"/>
        <v>980897</v>
      </c>
      <c r="D37" s="37"/>
      <c r="E37" s="37">
        <v>3647996</v>
      </c>
      <c r="F37" s="37"/>
      <c r="G37" s="37">
        <v>4628893</v>
      </c>
      <c r="H37" s="37"/>
      <c r="I37" s="96">
        <f t="shared" si="7"/>
        <v>127948</v>
      </c>
      <c r="J37" s="96"/>
      <c r="K37" s="96">
        <f t="shared" si="8"/>
        <v>1762112</v>
      </c>
      <c r="L37" s="37"/>
      <c r="M37" s="37">
        <v>1890060</v>
      </c>
      <c r="N37" s="37"/>
      <c r="O37" s="37">
        <v>0</v>
      </c>
      <c r="P37" s="37"/>
      <c r="Q37" s="37">
        <v>0</v>
      </c>
      <c r="R37" s="37"/>
      <c r="S37" s="37">
        <f>1798+2737035</f>
        <v>2738833</v>
      </c>
      <c r="T37" s="37"/>
      <c r="U37" s="37">
        <f t="shared" si="3"/>
        <v>2738833</v>
      </c>
      <c r="V37" s="37"/>
      <c r="W37" s="37">
        <f t="shared" si="0"/>
        <v>0</v>
      </c>
      <c r="X37" s="37"/>
      <c r="Y37" s="78" t="s">
        <v>34</v>
      </c>
      <c r="Z37" s="37"/>
      <c r="AA37" s="34">
        <v>328433</v>
      </c>
      <c r="AB37" s="34"/>
      <c r="AC37" s="34">
        <v>287340</v>
      </c>
      <c r="AD37" s="34"/>
      <c r="AE37" s="34">
        <v>77968</v>
      </c>
      <c r="AF37" s="34"/>
      <c r="AG37" s="38">
        <f t="shared" si="4"/>
        <v>-36875</v>
      </c>
      <c r="AH37" s="38"/>
      <c r="AI37" s="38">
        <v>-70234</v>
      </c>
      <c r="AJ37" s="38"/>
      <c r="AK37" s="34">
        <v>22938</v>
      </c>
      <c r="AL37" s="34"/>
      <c r="AM37" s="34">
        <v>0</v>
      </c>
      <c r="AN37" s="34"/>
      <c r="AO37" s="34">
        <v>132688</v>
      </c>
      <c r="AP37" s="34"/>
      <c r="AQ37" s="38">
        <f t="shared" si="5"/>
        <v>48517</v>
      </c>
      <c r="AR37" s="38"/>
      <c r="AS37" s="106" t="s">
        <v>163</v>
      </c>
      <c r="AT37" s="34"/>
      <c r="AU37" s="106" t="s">
        <v>163</v>
      </c>
      <c r="AV37" s="34"/>
      <c r="AW37" s="34">
        <f t="shared" si="6"/>
        <v>852949</v>
      </c>
      <c r="AX37" s="34"/>
      <c r="AY37" s="78" t="s">
        <v>34</v>
      </c>
      <c r="AZ37" s="34"/>
      <c r="BA37" s="34">
        <v>0</v>
      </c>
      <c r="BB37" s="34"/>
      <c r="BC37" s="34">
        <v>0</v>
      </c>
      <c r="BD37" s="34"/>
      <c r="BE37" s="34">
        <f>1038256+278856</f>
        <v>1317112</v>
      </c>
      <c r="BF37" s="34"/>
      <c r="BG37" s="34">
        <v>445000</v>
      </c>
      <c r="BH37" s="34"/>
      <c r="BI37" s="34"/>
      <c r="BJ37" s="34"/>
      <c r="BK37" s="34">
        <f t="shared" si="1"/>
        <v>1762112</v>
      </c>
      <c r="BL37" s="8"/>
    </row>
    <row r="38" spans="1:64" ht="12">
      <c r="A38" s="28" t="s">
        <v>35</v>
      </c>
      <c r="C38" s="37">
        <f t="shared" si="2"/>
        <v>540677</v>
      </c>
      <c r="D38" s="37"/>
      <c r="E38" s="37">
        <v>5139764</v>
      </c>
      <c r="F38" s="37"/>
      <c r="G38" s="37">
        <v>5680441</v>
      </c>
      <c r="H38" s="37"/>
      <c r="I38" s="96">
        <f t="shared" si="7"/>
        <v>2002809</v>
      </c>
      <c r="J38" s="96"/>
      <c r="K38" s="96">
        <f t="shared" si="8"/>
        <v>0</v>
      </c>
      <c r="L38" s="37"/>
      <c r="M38" s="37">
        <v>2002809</v>
      </c>
      <c r="N38" s="37"/>
      <c r="O38" s="37">
        <v>0</v>
      </c>
      <c r="P38" s="37"/>
      <c r="Q38" s="37">
        <v>0</v>
      </c>
      <c r="R38" s="37"/>
      <c r="S38" s="37">
        <v>3677632</v>
      </c>
      <c r="T38" s="37"/>
      <c r="U38" s="37">
        <f t="shared" si="3"/>
        <v>3677632</v>
      </c>
      <c r="V38" s="37"/>
      <c r="W38" s="37">
        <f t="shared" si="0"/>
        <v>0</v>
      </c>
      <c r="X38" s="37"/>
      <c r="Y38" s="78" t="s">
        <v>35</v>
      </c>
      <c r="Z38" s="37"/>
      <c r="AA38" s="34">
        <v>170892</v>
      </c>
      <c r="AB38" s="34"/>
      <c r="AC38" s="34">
        <f>1079551-155318</f>
        <v>924233</v>
      </c>
      <c r="AD38" s="34"/>
      <c r="AE38" s="34">
        <v>155318</v>
      </c>
      <c r="AF38" s="34"/>
      <c r="AG38" s="38">
        <f t="shared" si="4"/>
        <v>-908659</v>
      </c>
      <c r="AH38" s="38"/>
      <c r="AI38" s="38">
        <v>594174</v>
      </c>
      <c r="AJ38" s="38"/>
      <c r="AK38" s="34">
        <v>0</v>
      </c>
      <c r="AL38" s="34"/>
      <c r="AM38" s="34">
        <v>0</v>
      </c>
      <c r="AN38" s="34"/>
      <c r="AO38" s="34">
        <v>0</v>
      </c>
      <c r="AP38" s="34"/>
      <c r="AQ38" s="38">
        <f t="shared" si="5"/>
        <v>-314485</v>
      </c>
      <c r="AR38" s="38"/>
      <c r="AS38" s="106" t="s">
        <v>163</v>
      </c>
      <c r="AT38" s="34"/>
      <c r="AU38" s="106" t="s">
        <v>163</v>
      </c>
      <c r="AV38" s="34"/>
      <c r="AW38" s="34">
        <f t="shared" si="6"/>
        <v>-1462132</v>
      </c>
      <c r="AX38" s="34"/>
      <c r="AY38" s="78" t="s">
        <v>35</v>
      </c>
      <c r="AZ38" s="34"/>
      <c r="BA38" s="34">
        <v>0</v>
      </c>
      <c r="BB38" s="34"/>
      <c r="BC38" s="34">
        <v>0</v>
      </c>
      <c r="BD38" s="34"/>
      <c r="BE38" s="34">
        <v>0</v>
      </c>
      <c r="BF38" s="34"/>
      <c r="BG38" s="34">
        <v>0</v>
      </c>
      <c r="BH38" s="34"/>
      <c r="BI38" s="34"/>
      <c r="BJ38" s="34"/>
      <c r="BK38" s="34">
        <f t="shared" si="1"/>
        <v>0</v>
      </c>
      <c r="BL38" s="8"/>
    </row>
    <row r="39" spans="1:64" ht="11.25" customHeight="1" hidden="1">
      <c r="A39" s="28" t="s">
        <v>36</v>
      </c>
      <c r="C39" s="37"/>
      <c r="D39" s="37"/>
      <c r="E39" s="37"/>
      <c r="F39" s="37"/>
      <c r="G39" s="37"/>
      <c r="H39" s="37"/>
      <c r="I39" s="96"/>
      <c r="J39" s="96"/>
      <c r="K39" s="9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>
        <f t="shared" si="0"/>
        <v>0</v>
      </c>
      <c r="X39" s="37"/>
      <c r="Y39" s="78" t="s">
        <v>36</v>
      </c>
      <c r="Z39" s="37"/>
      <c r="AA39" s="37" t="s">
        <v>165</v>
      </c>
      <c r="AB39" s="37"/>
      <c r="AC39" s="37" t="s">
        <v>165</v>
      </c>
      <c r="AD39" s="37"/>
      <c r="AE39" s="37" t="s">
        <v>165</v>
      </c>
      <c r="AF39" s="37"/>
      <c r="AG39" s="37" t="s">
        <v>165</v>
      </c>
      <c r="AH39" s="37"/>
      <c r="AI39" s="37" t="s">
        <v>165</v>
      </c>
      <c r="AJ39" s="37"/>
      <c r="AK39" s="37" t="s">
        <v>165</v>
      </c>
      <c r="AL39" s="37"/>
      <c r="AM39" s="37" t="s">
        <v>165</v>
      </c>
      <c r="AN39" s="37"/>
      <c r="AO39" s="37" t="s">
        <v>165</v>
      </c>
      <c r="AP39" s="37"/>
      <c r="AQ39" s="37" t="s">
        <v>165</v>
      </c>
      <c r="AR39" s="37"/>
      <c r="AS39" s="106" t="s">
        <v>163</v>
      </c>
      <c r="AT39" s="37"/>
      <c r="AU39" s="106" t="s">
        <v>163</v>
      </c>
      <c r="AV39" s="37"/>
      <c r="AW39" s="37" t="s">
        <v>165</v>
      </c>
      <c r="AX39" s="37"/>
      <c r="AY39" s="78" t="s">
        <v>36</v>
      </c>
      <c r="AZ39" s="37"/>
      <c r="BA39" s="37" t="s">
        <v>165</v>
      </c>
      <c r="BB39" s="37"/>
      <c r="BC39" s="37" t="s">
        <v>165</v>
      </c>
      <c r="BD39" s="37"/>
      <c r="BE39" s="37" t="s">
        <v>165</v>
      </c>
      <c r="BF39" s="37"/>
      <c r="BG39" s="37" t="s">
        <v>165</v>
      </c>
      <c r="BH39" s="37"/>
      <c r="BI39" s="37"/>
      <c r="BJ39" s="37"/>
      <c r="BK39" s="34">
        <f t="shared" si="1"/>
        <v>0</v>
      </c>
      <c r="BL39" s="8"/>
    </row>
    <row r="40" spans="1:64" ht="12">
      <c r="A40" s="28" t="s">
        <v>195</v>
      </c>
      <c r="C40" s="37">
        <f t="shared" si="2"/>
        <v>8437335</v>
      </c>
      <c r="D40" s="37"/>
      <c r="E40" s="37">
        <v>139279345</v>
      </c>
      <c r="F40" s="37"/>
      <c r="G40" s="37">
        <v>147716680</v>
      </c>
      <c r="H40" s="37"/>
      <c r="I40" s="96">
        <f t="shared" si="7"/>
        <v>9867881</v>
      </c>
      <c r="J40" s="96"/>
      <c r="K40" s="96">
        <f t="shared" si="8"/>
        <v>99048293</v>
      </c>
      <c r="L40" s="37"/>
      <c r="M40" s="37">
        <v>108916174</v>
      </c>
      <c r="N40" s="37"/>
      <c r="O40" s="37">
        <v>28574640</v>
      </c>
      <c r="P40" s="37"/>
      <c r="Q40" s="37">
        <v>454278</v>
      </c>
      <c r="R40" s="37"/>
      <c r="S40" s="37">
        <v>9771588</v>
      </c>
      <c r="T40" s="37"/>
      <c r="U40" s="37">
        <f t="shared" si="3"/>
        <v>38800506</v>
      </c>
      <c r="V40" s="37"/>
      <c r="W40" s="37">
        <f t="shared" si="0"/>
        <v>0</v>
      </c>
      <c r="X40" s="37"/>
      <c r="Y40" s="78" t="s">
        <v>195</v>
      </c>
      <c r="Z40" s="37"/>
      <c r="AA40" s="34">
        <v>14991741</v>
      </c>
      <c r="AB40" s="34"/>
      <c r="AC40" s="34">
        <f>8425758-2395429</f>
        <v>6030329</v>
      </c>
      <c r="AD40" s="34"/>
      <c r="AE40" s="34">
        <v>2395429</v>
      </c>
      <c r="AF40" s="34"/>
      <c r="AG40" s="38">
        <f t="shared" si="4"/>
        <v>6565983</v>
      </c>
      <c r="AH40" s="38"/>
      <c r="AI40" s="38">
        <v>-5478216</v>
      </c>
      <c r="AJ40" s="38"/>
      <c r="AK40" s="34">
        <v>282315</v>
      </c>
      <c r="AL40" s="34"/>
      <c r="AM40" s="34">
        <v>2306</v>
      </c>
      <c r="AN40" s="34"/>
      <c r="AO40" s="34">
        <v>722489</v>
      </c>
      <c r="AP40" s="34"/>
      <c r="AQ40" s="38">
        <f t="shared" si="5"/>
        <v>2090265</v>
      </c>
      <c r="AR40" s="38"/>
      <c r="AS40" s="106" t="s">
        <v>163</v>
      </c>
      <c r="AT40" s="34"/>
      <c r="AU40" s="106" t="s">
        <v>163</v>
      </c>
      <c r="AV40" s="34"/>
      <c r="AW40" s="34">
        <f t="shared" si="6"/>
        <v>-1430546</v>
      </c>
      <c r="AX40" s="34"/>
      <c r="AY40" s="78" t="s">
        <v>195</v>
      </c>
      <c r="AZ40" s="34"/>
      <c r="BA40" s="34">
        <v>0</v>
      </c>
      <c r="BB40" s="34"/>
      <c r="BC40" s="34">
        <f>89811720</f>
        <v>89811720</v>
      </c>
      <c r="BD40" s="34"/>
      <c r="BE40" s="34">
        <f>7458103</f>
        <v>7458103</v>
      </c>
      <c r="BF40" s="34"/>
      <c r="BG40" s="34">
        <f>1778470</f>
        <v>1778470</v>
      </c>
      <c r="BH40" s="34"/>
      <c r="BI40" s="34"/>
      <c r="BJ40" s="34"/>
      <c r="BK40" s="34">
        <f t="shared" si="1"/>
        <v>99048293</v>
      </c>
      <c r="BL40" s="8"/>
    </row>
    <row r="41" spans="1:64" ht="12">
      <c r="A41" s="28" t="s">
        <v>37</v>
      </c>
      <c r="C41" s="37">
        <f t="shared" si="2"/>
        <v>181051</v>
      </c>
      <c r="D41" s="37"/>
      <c r="E41" s="37">
        <v>879519</v>
      </c>
      <c r="F41" s="37"/>
      <c r="G41" s="37">
        <v>1060570</v>
      </c>
      <c r="H41" s="37"/>
      <c r="I41" s="96">
        <f t="shared" si="7"/>
        <v>12552</v>
      </c>
      <c r="J41" s="96"/>
      <c r="K41" s="96">
        <f t="shared" si="8"/>
        <v>3706</v>
      </c>
      <c r="L41" s="37"/>
      <c r="M41" s="37">
        <v>16258</v>
      </c>
      <c r="N41" s="37"/>
      <c r="O41" s="37">
        <v>879519</v>
      </c>
      <c r="P41" s="37"/>
      <c r="Q41" s="37">
        <v>0</v>
      </c>
      <c r="R41" s="37"/>
      <c r="S41" s="37">
        <v>164793</v>
      </c>
      <c r="T41" s="37"/>
      <c r="U41" s="37">
        <f t="shared" si="3"/>
        <v>1044312</v>
      </c>
      <c r="V41" s="37"/>
      <c r="W41" s="37">
        <f t="shared" si="0"/>
        <v>0</v>
      </c>
      <c r="X41" s="37"/>
      <c r="Y41" s="78" t="s">
        <v>37</v>
      </c>
      <c r="Z41" s="37"/>
      <c r="AA41" s="34">
        <v>154697</v>
      </c>
      <c r="AB41" s="34"/>
      <c r="AC41" s="34">
        <f>148926-19106</f>
        <v>129820</v>
      </c>
      <c r="AD41" s="34"/>
      <c r="AE41" s="34">
        <v>19106</v>
      </c>
      <c r="AF41" s="34"/>
      <c r="AG41" s="38">
        <f t="shared" si="4"/>
        <v>5771</v>
      </c>
      <c r="AH41" s="38"/>
      <c r="AI41" s="38">
        <v>100</v>
      </c>
      <c r="AJ41" s="38"/>
      <c r="AK41" s="34">
        <v>0</v>
      </c>
      <c r="AL41" s="34"/>
      <c r="AM41" s="34">
        <v>0</v>
      </c>
      <c r="AN41" s="34"/>
      <c r="AO41" s="34">
        <v>0</v>
      </c>
      <c r="AP41" s="34"/>
      <c r="AQ41" s="38">
        <f t="shared" si="5"/>
        <v>5871</v>
      </c>
      <c r="AR41" s="38"/>
      <c r="AS41" s="106" t="s">
        <v>163</v>
      </c>
      <c r="AT41" s="34"/>
      <c r="AU41" s="106" t="s">
        <v>163</v>
      </c>
      <c r="AV41" s="34"/>
      <c r="AW41" s="34">
        <f t="shared" si="6"/>
        <v>168499</v>
      </c>
      <c r="AX41" s="34"/>
      <c r="AY41" s="78" t="s">
        <v>37</v>
      </c>
      <c r="AZ41" s="34"/>
      <c r="BA41" s="34">
        <v>0</v>
      </c>
      <c r="BB41" s="34"/>
      <c r="BC41" s="34">
        <v>0</v>
      </c>
      <c r="BD41" s="34"/>
      <c r="BE41" s="34">
        <v>0</v>
      </c>
      <c r="BF41" s="34"/>
      <c r="BG41" s="34">
        <v>3706</v>
      </c>
      <c r="BH41" s="34"/>
      <c r="BI41" s="34"/>
      <c r="BJ41" s="34"/>
      <c r="BK41" s="34">
        <f t="shared" si="1"/>
        <v>3706</v>
      </c>
      <c r="BL41" s="8"/>
    </row>
    <row r="42" spans="1:64" ht="11.25" customHeight="1" hidden="1">
      <c r="A42" s="28" t="s">
        <v>38</v>
      </c>
      <c r="C42" s="37"/>
      <c r="D42" s="37"/>
      <c r="E42" s="37"/>
      <c r="F42" s="37"/>
      <c r="G42" s="37"/>
      <c r="H42" s="37"/>
      <c r="I42" s="96"/>
      <c r="J42" s="96"/>
      <c r="K42" s="96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>
        <f t="shared" si="0"/>
        <v>0</v>
      </c>
      <c r="X42" s="37"/>
      <c r="Y42" s="78" t="s">
        <v>38</v>
      </c>
      <c r="Z42" s="37"/>
      <c r="AA42" s="37" t="s">
        <v>165</v>
      </c>
      <c r="AB42" s="37"/>
      <c r="AC42" s="37" t="s">
        <v>165</v>
      </c>
      <c r="AD42" s="37"/>
      <c r="AE42" s="37" t="s">
        <v>165</v>
      </c>
      <c r="AF42" s="37"/>
      <c r="AG42" s="37" t="s">
        <v>165</v>
      </c>
      <c r="AH42" s="37"/>
      <c r="AI42" s="37" t="s">
        <v>165</v>
      </c>
      <c r="AJ42" s="37"/>
      <c r="AK42" s="37" t="s">
        <v>165</v>
      </c>
      <c r="AL42" s="37"/>
      <c r="AM42" s="37" t="s">
        <v>165</v>
      </c>
      <c r="AN42" s="37"/>
      <c r="AO42" s="37" t="s">
        <v>165</v>
      </c>
      <c r="AP42" s="37"/>
      <c r="AQ42" s="37" t="s">
        <v>165</v>
      </c>
      <c r="AR42" s="37"/>
      <c r="AS42" s="106" t="s">
        <v>163</v>
      </c>
      <c r="AT42" s="37"/>
      <c r="AU42" s="106" t="s">
        <v>163</v>
      </c>
      <c r="AV42" s="37"/>
      <c r="AW42" s="37" t="s">
        <v>165</v>
      </c>
      <c r="AX42" s="37"/>
      <c r="AY42" s="78" t="s">
        <v>38</v>
      </c>
      <c r="AZ42" s="37"/>
      <c r="BA42" s="37" t="s">
        <v>165</v>
      </c>
      <c r="BB42" s="37"/>
      <c r="BC42" s="37" t="s">
        <v>165</v>
      </c>
      <c r="BD42" s="37"/>
      <c r="BE42" s="37" t="s">
        <v>165</v>
      </c>
      <c r="BF42" s="37"/>
      <c r="BG42" s="37" t="s">
        <v>165</v>
      </c>
      <c r="BH42" s="37"/>
      <c r="BI42" s="37"/>
      <c r="BJ42" s="37"/>
      <c r="BK42" s="34">
        <f t="shared" si="1"/>
        <v>0</v>
      </c>
      <c r="BL42" s="8"/>
    </row>
    <row r="43" spans="1:64" ht="11.25" customHeight="1" hidden="1">
      <c r="A43" s="28" t="s">
        <v>39</v>
      </c>
      <c r="C43" s="37"/>
      <c r="D43" s="37"/>
      <c r="E43" s="37"/>
      <c r="F43" s="37"/>
      <c r="G43" s="37"/>
      <c r="H43" s="37"/>
      <c r="I43" s="96"/>
      <c r="J43" s="96"/>
      <c r="K43" s="9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>
        <f t="shared" si="0"/>
        <v>0</v>
      </c>
      <c r="X43" s="37"/>
      <c r="Y43" s="78" t="s">
        <v>39</v>
      </c>
      <c r="Z43" s="37"/>
      <c r="AA43" s="34">
        <v>0</v>
      </c>
      <c r="AB43" s="34"/>
      <c r="AC43" s="34">
        <v>0</v>
      </c>
      <c r="AD43" s="34"/>
      <c r="AE43" s="34">
        <v>0</v>
      </c>
      <c r="AF43" s="34"/>
      <c r="AG43" s="38">
        <f t="shared" si="4"/>
        <v>0</v>
      </c>
      <c r="AH43" s="38"/>
      <c r="AI43" s="38">
        <v>0</v>
      </c>
      <c r="AJ43" s="38"/>
      <c r="AK43" s="34">
        <v>0</v>
      </c>
      <c r="AL43" s="34"/>
      <c r="AM43" s="34">
        <v>0</v>
      </c>
      <c r="AN43" s="34"/>
      <c r="AO43" s="34">
        <v>0</v>
      </c>
      <c r="AP43" s="34"/>
      <c r="AQ43" s="38">
        <f t="shared" si="5"/>
        <v>0</v>
      </c>
      <c r="AR43" s="38"/>
      <c r="AS43" s="106" t="s">
        <v>163</v>
      </c>
      <c r="AT43" s="34"/>
      <c r="AU43" s="106" t="s">
        <v>163</v>
      </c>
      <c r="AV43" s="34"/>
      <c r="AW43" s="34">
        <f t="shared" si="6"/>
        <v>0</v>
      </c>
      <c r="AX43" s="34"/>
      <c r="AY43" s="78" t="s">
        <v>39</v>
      </c>
      <c r="AZ43" s="34"/>
      <c r="BA43" s="34">
        <v>0</v>
      </c>
      <c r="BB43" s="34"/>
      <c r="BC43" s="34">
        <v>0</v>
      </c>
      <c r="BD43" s="34"/>
      <c r="BE43" s="34">
        <v>0</v>
      </c>
      <c r="BF43" s="34"/>
      <c r="BG43" s="34">
        <v>0</v>
      </c>
      <c r="BH43" s="34"/>
      <c r="BI43" s="34"/>
      <c r="BJ43" s="34"/>
      <c r="BK43" s="34">
        <f t="shared" si="1"/>
        <v>0</v>
      </c>
      <c r="BL43" s="8"/>
    </row>
    <row r="44" spans="1:64" ht="11.25" customHeight="1" hidden="1">
      <c r="A44" s="28" t="s">
        <v>169</v>
      </c>
      <c r="C44" s="37"/>
      <c r="D44" s="37"/>
      <c r="E44" s="37"/>
      <c r="F44" s="37"/>
      <c r="G44" s="37"/>
      <c r="H44" s="37"/>
      <c r="I44" s="96"/>
      <c r="J44" s="96"/>
      <c r="K44" s="9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f t="shared" si="0"/>
        <v>0</v>
      </c>
      <c r="X44" s="37"/>
      <c r="Y44" s="78" t="s">
        <v>169</v>
      </c>
      <c r="Z44" s="37"/>
      <c r="AA44" s="37" t="s">
        <v>165</v>
      </c>
      <c r="AB44" s="37"/>
      <c r="AC44" s="37" t="s">
        <v>165</v>
      </c>
      <c r="AD44" s="37"/>
      <c r="AE44" s="37" t="s">
        <v>165</v>
      </c>
      <c r="AF44" s="37"/>
      <c r="AG44" s="37" t="s">
        <v>165</v>
      </c>
      <c r="AH44" s="37"/>
      <c r="AI44" s="37" t="s">
        <v>165</v>
      </c>
      <c r="AJ44" s="37"/>
      <c r="AK44" s="37" t="s">
        <v>165</v>
      </c>
      <c r="AL44" s="37"/>
      <c r="AM44" s="37" t="s">
        <v>165</v>
      </c>
      <c r="AN44" s="37"/>
      <c r="AO44" s="37" t="s">
        <v>165</v>
      </c>
      <c r="AP44" s="37"/>
      <c r="AQ44" s="37" t="s">
        <v>165</v>
      </c>
      <c r="AR44" s="37"/>
      <c r="AS44" s="106" t="s">
        <v>163</v>
      </c>
      <c r="AT44" s="37"/>
      <c r="AU44" s="106" t="s">
        <v>163</v>
      </c>
      <c r="AV44" s="37"/>
      <c r="AW44" s="37" t="s">
        <v>165</v>
      </c>
      <c r="AX44" s="37"/>
      <c r="AY44" s="78" t="s">
        <v>169</v>
      </c>
      <c r="AZ44" s="37"/>
      <c r="BA44" s="37" t="s">
        <v>165</v>
      </c>
      <c r="BB44" s="37"/>
      <c r="BC44" s="37" t="s">
        <v>165</v>
      </c>
      <c r="BD44" s="37"/>
      <c r="BE44" s="37" t="s">
        <v>165</v>
      </c>
      <c r="BF44" s="37"/>
      <c r="BG44" s="37" t="s">
        <v>165</v>
      </c>
      <c r="BH44" s="37"/>
      <c r="BI44" s="37"/>
      <c r="BJ44" s="37"/>
      <c r="BK44" s="34">
        <f t="shared" si="1"/>
        <v>0</v>
      </c>
      <c r="BL44" s="8"/>
    </row>
    <row r="45" spans="1:64" ht="11.25" customHeight="1" hidden="1">
      <c r="A45" s="28" t="s">
        <v>40</v>
      </c>
      <c r="C45" s="37"/>
      <c r="D45" s="37"/>
      <c r="E45" s="37"/>
      <c r="F45" s="37"/>
      <c r="G45" s="37"/>
      <c r="H45" s="37"/>
      <c r="I45" s="96"/>
      <c r="J45" s="96"/>
      <c r="K45" s="96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f t="shared" si="0"/>
        <v>0</v>
      </c>
      <c r="X45" s="37"/>
      <c r="Y45" s="78" t="s">
        <v>40</v>
      </c>
      <c r="Z45" s="37"/>
      <c r="AA45" s="34">
        <v>0</v>
      </c>
      <c r="AB45" s="34"/>
      <c r="AC45" s="34">
        <v>0</v>
      </c>
      <c r="AD45" s="34"/>
      <c r="AE45" s="34">
        <v>0</v>
      </c>
      <c r="AF45" s="34"/>
      <c r="AG45" s="38">
        <f t="shared" si="4"/>
        <v>0</v>
      </c>
      <c r="AH45" s="38"/>
      <c r="AI45" s="38">
        <v>0</v>
      </c>
      <c r="AJ45" s="38"/>
      <c r="AK45" s="34">
        <v>0</v>
      </c>
      <c r="AL45" s="34"/>
      <c r="AM45" s="34">
        <v>0</v>
      </c>
      <c r="AN45" s="34"/>
      <c r="AO45" s="34">
        <v>0</v>
      </c>
      <c r="AP45" s="34"/>
      <c r="AQ45" s="38">
        <f t="shared" si="5"/>
        <v>0</v>
      </c>
      <c r="AR45" s="38"/>
      <c r="AS45" s="106" t="s">
        <v>163</v>
      </c>
      <c r="AT45" s="34"/>
      <c r="AU45" s="106" t="s">
        <v>163</v>
      </c>
      <c r="AV45" s="34"/>
      <c r="AW45" s="34">
        <f t="shared" si="6"/>
        <v>0</v>
      </c>
      <c r="AX45" s="34"/>
      <c r="AY45" s="78" t="s">
        <v>40</v>
      </c>
      <c r="AZ45" s="34"/>
      <c r="BA45" s="34">
        <v>0</v>
      </c>
      <c r="BB45" s="34"/>
      <c r="BC45" s="34">
        <v>0</v>
      </c>
      <c r="BD45" s="34"/>
      <c r="BE45" s="34">
        <v>0</v>
      </c>
      <c r="BF45" s="34"/>
      <c r="BG45" s="34">
        <v>0</v>
      </c>
      <c r="BH45" s="34"/>
      <c r="BI45" s="34"/>
      <c r="BJ45" s="34"/>
      <c r="BK45" s="34">
        <f t="shared" si="1"/>
        <v>0</v>
      </c>
      <c r="BL45" s="8"/>
    </row>
    <row r="46" spans="1:64" ht="11.25" customHeight="1" hidden="1">
      <c r="A46" s="28" t="s">
        <v>41</v>
      </c>
      <c r="C46" s="37"/>
      <c r="D46" s="37"/>
      <c r="E46" s="37"/>
      <c r="F46" s="37"/>
      <c r="G46" s="37"/>
      <c r="H46" s="37"/>
      <c r="I46" s="96"/>
      <c r="J46" s="96"/>
      <c r="K46" s="96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>
        <f t="shared" si="0"/>
        <v>0</v>
      </c>
      <c r="X46" s="37"/>
      <c r="Y46" s="78" t="s">
        <v>41</v>
      </c>
      <c r="Z46" s="37"/>
      <c r="AA46" s="37" t="s">
        <v>165</v>
      </c>
      <c r="AB46" s="37"/>
      <c r="AC46" s="37" t="s">
        <v>165</v>
      </c>
      <c r="AD46" s="37"/>
      <c r="AE46" s="37" t="s">
        <v>165</v>
      </c>
      <c r="AF46" s="37"/>
      <c r="AG46" s="37" t="s">
        <v>165</v>
      </c>
      <c r="AH46" s="37"/>
      <c r="AI46" s="37" t="s">
        <v>165</v>
      </c>
      <c r="AJ46" s="37"/>
      <c r="AK46" s="37" t="s">
        <v>165</v>
      </c>
      <c r="AL46" s="37"/>
      <c r="AM46" s="37" t="s">
        <v>165</v>
      </c>
      <c r="AN46" s="37"/>
      <c r="AO46" s="37" t="s">
        <v>165</v>
      </c>
      <c r="AP46" s="37"/>
      <c r="AQ46" s="37" t="s">
        <v>165</v>
      </c>
      <c r="AR46" s="37"/>
      <c r="AS46" s="106" t="s">
        <v>163</v>
      </c>
      <c r="AT46" s="37"/>
      <c r="AU46" s="106" t="s">
        <v>163</v>
      </c>
      <c r="AV46" s="37"/>
      <c r="AW46" s="37" t="s">
        <v>165</v>
      </c>
      <c r="AX46" s="37"/>
      <c r="AY46" s="78" t="s">
        <v>41</v>
      </c>
      <c r="AZ46" s="37"/>
      <c r="BA46" s="37" t="s">
        <v>165</v>
      </c>
      <c r="BB46" s="37"/>
      <c r="BC46" s="37" t="s">
        <v>165</v>
      </c>
      <c r="BD46" s="37"/>
      <c r="BE46" s="37" t="s">
        <v>165</v>
      </c>
      <c r="BF46" s="37"/>
      <c r="BG46" s="37" t="s">
        <v>165</v>
      </c>
      <c r="BH46" s="37"/>
      <c r="BI46" s="37"/>
      <c r="BJ46" s="37"/>
      <c r="BK46" s="34">
        <f t="shared" si="1"/>
        <v>0</v>
      </c>
      <c r="BL46" s="8"/>
    </row>
    <row r="47" spans="1:64" ht="11.25" customHeight="1" hidden="1">
      <c r="A47" s="28" t="s">
        <v>42</v>
      </c>
      <c r="C47" s="37"/>
      <c r="D47" s="37"/>
      <c r="E47" s="37"/>
      <c r="F47" s="37"/>
      <c r="G47" s="37"/>
      <c r="H47" s="37"/>
      <c r="I47" s="96"/>
      <c r="J47" s="96"/>
      <c r="K47" s="9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>
        <f t="shared" si="0"/>
        <v>0</v>
      </c>
      <c r="X47" s="37"/>
      <c r="Y47" s="78" t="s">
        <v>42</v>
      </c>
      <c r="Z47" s="37"/>
      <c r="AA47" s="37">
        <f>13228+272261</f>
        <v>285489</v>
      </c>
      <c r="AB47" s="37"/>
      <c r="AC47" s="37">
        <v>8819</v>
      </c>
      <c r="AD47" s="37"/>
      <c r="AE47" s="37">
        <v>0</v>
      </c>
      <c r="AF47" s="37"/>
      <c r="AG47" s="38">
        <f t="shared" si="4"/>
        <v>276670</v>
      </c>
      <c r="AH47" s="38"/>
      <c r="AI47" s="37">
        <v>0</v>
      </c>
      <c r="AJ47" s="37"/>
      <c r="AK47" s="37">
        <v>0</v>
      </c>
      <c r="AL47" s="37"/>
      <c r="AM47" s="37">
        <v>1054</v>
      </c>
      <c r="AN47" s="37"/>
      <c r="AO47" s="37">
        <v>0</v>
      </c>
      <c r="AP47" s="37"/>
      <c r="AQ47" s="38">
        <f t="shared" si="5"/>
        <v>275616</v>
      </c>
      <c r="AR47" s="38"/>
      <c r="AS47" s="106" t="s">
        <v>163</v>
      </c>
      <c r="AT47" s="37"/>
      <c r="AU47" s="106" t="s">
        <v>163</v>
      </c>
      <c r="AV47" s="37"/>
      <c r="AW47" s="37" t="s">
        <v>165</v>
      </c>
      <c r="AX47" s="37"/>
      <c r="AY47" s="78" t="s">
        <v>42</v>
      </c>
      <c r="AZ47" s="37"/>
      <c r="BA47" s="37">
        <v>0</v>
      </c>
      <c r="BB47" s="37"/>
      <c r="BC47" s="37">
        <v>0</v>
      </c>
      <c r="BD47" s="37"/>
      <c r="BE47" s="37">
        <v>0</v>
      </c>
      <c r="BF47" s="37"/>
      <c r="BG47" s="37">
        <v>0</v>
      </c>
      <c r="BH47" s="37"/>
      <c r="BI47" s="37"/>
      <c r="BJ47" s="37"/>
      <c r="BK47" s="34">
        <f t="shared" si="1"/>
        <v>0</v>
      </c>
      <c r="BL47" s="8"/>
    </row>
    <row r="48" spans="1:64" ht="12">
      <c r="A48" s="28" t="s">
        <v>43</v>
      </c>
      <c r="C48" s="37">
        <f t="shared" si="2"/>
        <v>109718</v>
      </c>
      <c r="D48" s="37"/>
      <c r="E48" s="37">
        <v>1932715</v>
      </c>
      <c r="F48" s="37"/>
      <c r="G48" s="37">
        <v>2042433</v>
      </c>
      <c r="H48" s="37"/>
      <c r="I48" s="96">
        <f t="shared" si="7"/>
        <v>7699</v>
      </c>
      <c r="J48" s="96"/>
      <c r="K48" s="96">
        <f>529500+526</f>
        <v>530026</v>
      </c>
      <c r="L48" s="37"/>
      <c r="M48" s="37">
        <v>537725</v>
      </c>
      <c r="N48" s="37"/>
      <c r="O48" s="37">
        <v>0</v>
      </c>
      <c r="P48" s="37"/>
      <c r="Q48" s="37">
        <v>0</v>
      </c>
      <c r="R48" s="37"/>
      <c r="S48" s="37">
        <v>1504708</v>
      </c>
      <c r="T48" s="37"/>
      <c r="U48" s="37">
        <f t="shared" si="3"/>
        <v>1504708</v>
      </c>
      <c r="V48" s="37"/>
      <c r="W48" s="37">
        <f t="shared" si="0"/>
        <v>0</v>
      </c>
      <c r="X48" s="37"/>
      <c r="Y48" s="78" t="s">
        <v>43</v>
      </c>
      <c r="Z48" s="37"/>
      <c r="AA48" s="34">
        <v>190173</v>
      </c>
      <c r="AB48" s="34"/>
      <c r="AC48" s="34">
        <v>127244</v>
      </c>
      <c r="AD48" s="34"/>
      <c r="AE48" s="34">
        <v>67024</v>
      </c>
      <c r="AF48" s="34"/>
      <c r="AG48" s="38">
        <f t="shared" si="4"/>
        <v>-4095</v>
      </c>
      <c r="AH48" s="38"/>
      <c r="AI48" s="38">
        <f>-27009+6000</f>
        <v>-21009</v>
      </c>
      <c r="AJ48" s="38"/>
      <c r="AK48" s="34">
        <v>0</v>
      </c>
      <c r="AL48" s="34"/>
      <c r="AM48" s="34">
        <v>222</v>
      </c>
      <c r="AN48" s="34"/>
      <c r="AO48" s="34">
        <v>0</v>
      </c>
      <c r="AP48" s="34"/>
      <c r="AQ48" s="38">
        <f t="shared" si="5"/>
        <v>-25326</v>
      </c>
      <c r="AR48" s="38"/>
      <c r="AS48" s="106" t="s">
        <v>163</v>
      </c>
      <c r="AT48" s="34"/>
      <c r="AU48" s="106" t="s">
        <v>163</v>
      </c>
      <c r="AV48" s="34"/>
      <c r="AW48" s="34">
        <f t="shared" si="6"/>
        <v>102019</v>
      </c>
      <c r="AX48" s="34"/>
      <c r="AY48" s="78" t="s">
        <v>43</v>
      </c>
      <c r="AZ48" s="34"/>
      <c r="BA48" s="34">
        <v>0</v>
      </c>
      <c r="BB48" s="34"/>
      <c r="BC48" s="34">
        <v>529500</v>
      </c>
      <c r="BD48" s="34"/>
      <c r="BE48" s="34">
        <v>0</v>
      </c>
      <c r="BF48" s="34"/>
      <c r="BG48" s="34">
        <v>0</v>
      </c>
      <c r="BH48" s="34"/>
      <c r="BI48" s="34"/>
      <c r="BJ48" s="34"/>
      <c r="BK48" s="34">
        <f t="shared" si="1"/>
        <v>529500</v>
      </c>
      <c r="BL48" s="8"/>
    </row>
    <row r="49" spans="1:64" ht="12">
      <c r="A49" s="28" t="s">
        <v>44</v>
      </c>
      <c r="C49" s="79" t="s">
        <v>257</v>
      </c>
      <c r="D49" s="79"/>
      <c r="E49" s="79" t="s">
        <v>163</v>
      </c>
      <c r="F49" s="37"/>
      <c r="G49" s="37">
        <v>6020383</v>
      </c>
      <c r="H49" s="37"/>
      <c r="I49" s="96">
        <f t="shared" si="7"/>
        <v>374447</v>
      </c>
      <c r="J49" s="96"/>
      <c r="K49" s="96">
        <f t="shared" si="8"/>
        <v>2967987</v>
      </c>
      <c r="L49" s="37"/>
      <c r="M49" s="37">
        <f>6020383-2677949</f>
        <v>3342434</v>
      </c>
      <c r="N49" s="37"/>
      <c r="O49" s="37">
        <v>0</v>
      </c>
      <c r="P49" s="37"/>
      <c r="Q49" s="37">
        <v>0</v>
      </c>
      <c r="R49" s="37"/>
      <c r="S49" s="37">
        <v>2677949</v>
      </c>
      <c r="T49" s="37"/>
      <c r="U49" s="37">
        <f t="shared" si="3"/>
        <v>2677949</v>
      </c>
      <c r="V49" s="37"/>
      <c r="W49" s="37">
        <f t="shared" si="0"/>
        <v>0</v>
      </c>
      <c r="X49" s="37"/>
      <c r="Y49" s="78" t="s">
        <v>44</v>
      </c>
      <c r="Z49" s="37"/>
      <c r="AA49" s="34">
        <f>891741+48453</f>
        <v>940194</v>
      </c>
      <c r="AB49" s="34"/>
      <c r="AC49" s="34">
        <v>1943377</v>
      </c>
      <c r="AD49" s="34"/>
      <c r="AE49" s="34">
        <v>194192</v>
      </c>
      <c r="AF49" s="34"/>
      <c r="AG49" s="38">
        <f>+AA49-AC49-AE49</f>
        <v>-1197375</v>
      </c>
      <c r="AH49" s="38"/>
      <c r="AI49" s="38">
        <v>-62895</v>
      </c>
      <c r="AJ49" s="38"/>
      <c r="AK49" s="34">
        <v>0</v>
      </c>
      <c r="AL49" s="34"/>
      <c r="AM49" s="34">
        <v>0</v>
      </c>
      <c r="AN49" s="34"/>
      <c r="AO49" s="34">
        <v>0</v>
      </c>
      <c r="AP49" s="34"/>
      <c r="AQ49" s="38">
        <f t="shared" si="5"/>
        <v>-1260270</v>
      </c>
      <c r="AR49" s="38"/>
      <c r="AS49" s="34">
        <v>4426</v>
      </c>
      <c r="AT49" s="34"/>
      <c r="AU49" s="106" t="s">
        <v>163</v>
      </c>
      <c r="AV49" s="34"/>
      <c r="AW49" s="106" t="s">
        <v>163</v>
      </c>
      <c r="AX49" s="34"/>
      <c r="AY49" s="78" t="s">
        <v>44</v>
      </c>
      <c r="AZ49" s="34"/>
      <c r="BA49" s="34">
        <v>0</v>
      </c>
      <c r="BB49" s="34"/>
      <c r="BC49" s="34">
        <v>2841000</v>
      </c>
      <c r="BD49" s="34"/>
      <c r="BE49" s="34">
        <f>126987</f>
        <v>126987</v>
      </c>
      <c r="BF49" s="34"/>
      <c r="BG49" s="34">
        <v>0</v>
      </c>
      <c r="BH49" s="34"/>
      <c r="BI49" s="34"/>
      <c r="BJ49" s="34"/>
      <c r="BK49" s="34">
        <f t="shared" si="1"/>
        <v>2967987</v>
      </c>
      <c r="BL49" s="8"/>
    </row>
    <row r="50" spans="1:65" ht="11.25" customHeight="1" hidden="1">
      <c r="A50" s="28" t="s">
        <v>45</v>
      </c>
      <c r="C50" s="37"/>
      <c r="D50" s="37"/>
      <c r="E50" s="37"/>
      <c r="F50" s="37"/>
      <c r="G50" s="37"/>
      <c r="H50" s="37"/>
      <c r="I50" s="96"/>
      <c r="J50" s="96"/>
      <c r="K50" s="96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>
        <f t="shared" si="0"/>
        <v>0</v>
      </c>
      <c r="X50" s="37"/>
      <c r="Y50" s="78" t="s">
        <v>45</v>
      </c>
      <c r="Z50" s="37"/>
      <c r="AA50" s="37" t="s">
        <v>165</v>
      </c>
      <c r="AB50" s="37"/>
      <c r="AC50" s="37" t="s">
        <v>165</v>
      </c>
      <c r="AD50" s="37"/>
      <c r="AE50" s="37" t="s">
        <v>165</v>
      </c>
      <c r="AF50" s="37"/>
      <c r="AG50" s="37" t="s">
        <v>165</v>
      </c>
      <c r="AH50" s="37"/>
      <c r="AI50" s="37" t="s">
        <v>165</v>
      </c>
      <c r="AJ50" s="37"/>
      <c r="AK50" s="37" t="s">
        <v>165</v>
      </c>
      <c r="AL50" s="37"/>
      <c r="AM50" s="37" t="s">
        <v>165</v>
      </c>
      <c r="AN50" s="37"/>
      <c r="AO50" s="37" t="s">
        <v>165</v>
      </c>
      <c r="AP50" s="37"/>
      <c r="AQ50" s="37" t="s">
        <v>165</v>
      </c>
      <c r="AR50" s="37"/>
      <c r="AS50" s="37" t="s">
        <v>165</v>
      </c>
      <c r="AT50" s="37"/>
      <c r="AU50" s="106" t="s">
        <v>163</v>
      </c>
      <c r="AV50" s="37"/>
      <c r="AW50" s="37" t="s">
        <v>165</v>
      </c>
      <c r="AX50" s="37"/>
      <c r="AY50" s="78" t="s">
        <v>45</v>
      </c>
      <c r="AZ50" s="37"/>
      <c r="BA50" s="37" t="s">
        <v>165</v>
      </c>
      <c r="BB50" s="37"/>
      <c r="BC50" s="37" t="s">
        <v>165</v>
      </c>
      <c r="BD50" s="37"/>
      <c r="BE50" s="37" t="s">
        <v>165</v>
      </c>
      <c r="BF50" s="37"/>
      <c r="BG50" s="37" t="s">
        <v>165</v>
      </c>
      <c r="BH50" s="37"/>
      <c r="BI50" s="37"/>
      <c r="BJ50" s="37"/>
      <c r="BK50" s="34">
        <f t="shared" si="1"/>
        <v>0</v>
      </c>
      <c r="BL50" s="8"/>
      <c r="BM50" s="8"/>
    </row>
    <row r="51" spans="1:64" ht="11.25" customHeight="1" hidden="1">
      <c r="A51" s="28" t="s">
        <v>46</v>
      </c>
      <c r="C51" s="37"/>
      <c r="D51" s="37"/>
      <c r="E51" s="37"/>
      <c r="F51" s="37"/>
      <c r="G51" s="37"/>
      <c r="H51" s="37"/>
      <c r="I51" s="96"/>
      <c r="J51" s="96"/>
      <c r="K51" s="96"/>
      <c r="L51" s="37"/>
      <c r="M51" s="37"/>
      <c r="N51" s="37"/>
      <c r="O51" s="37"/>
      <c r="P51" s="37"/>
      <c r="Q51" s="37"/>
      <c r="R51" s="37"/>
      <c r="S51" s="37"/>
      <c r="T51" s="37"/>
      <c r="U51" s="37">
        <f t="shared" si="3"/>
        <v>0</v>
      </c>
      <c r="V51" s="37"/>
      <c r="W51" s="37">
        <f t="shared" si="0"/>
        <v>0</v>
      </c>
      <c r="X51" s="37"/>
      <c r="Y51" s="78" t="s">
        <v>46</v>
      </c>
      <c r="Z51" s="37"/>
      <c r="AA51" s="34">
        <v>8539</v>
      </c>
      <c r="AB51" s="34"/>
      <c r="AC51" s="34">
        <f>10947-2981</f>
        <v>7966</v>
      </c>
      <c r="AD51" s="34"/>
      <c r="AE51" s="34">
        <v>2981</v>
      </c>
      <c r="AF51" s="34"/>
      <c r="AG51" s="38">
        <f t="shared" si="4"/>
        <v>-2408</v>
      </c>
      <c r="AH51" s="38"/>
      <c r="AI51" s="38">
        <v>0</v>
      </c>
      <c r="AJ51" s="38"/>
      <c r="AK51" s="34">
        <v>0</v>
      </c>
      <c r="AL51" s="34"/>
      <c r="AM51" s="34">
        <v>0</v>
      </c>
      <c r="AN51" s="34"/>
      <c r="AO51" s="34">
        <v>0</v>
      </c>
      <c r="AP51" s="34"/>
      <c r="AQ51" s="38">
        <f t="shared" si="5"/>
        <v>-2408</v>
      </c>
      <c r="AR51" s="38"/>
      <c r="AS51" s="34">
        <v>0</v>
      </c>
      <c r="AT51" s="34"/>
      <c r="AU51" s="106" t="s">
        <v>163</v>
      </c>
      <c r="AV51" s="34"/>
      <c r="AW51" s="34">
        <f t="shared" si="6"/>
        <v>0</v>
      </c>
      <c r="AX51" s="34"/>
      <c r="AY51" s="78" t="s">
        <v>46</v>
      </c>
      <c r="AZ51" s="34"/>
      <c r="BA51" s="34">
        <v>0</v>
      </c>
      <c r="BB51" s="34"/>
      <c r="BC51" s="34">
        <v>0</v>
      </c>
      <c r="BD51" s="34"/>
      <c r="BE51" s="34">
        <v>0</v>
      </c>
      <c r="BF51" s="34"/>
      <c r="BG51" s="34">
        <v>0</v>
      </c>
      <c r="BH51" s="34"/>
      <c r="BI51" s="34"/>
      <c r="BJ51" s="34"/>
      <c r="BK51" s="34">
        <f t="shared" si="1"/>
        <v>0</v>
      </c>
      <c r="BL51" s="8"/>
    </row>
    <row r="52" spans="1:64" ht="12">
      <c r="A52" s="28" t="s">
        <v>47</v>
      </c>
      <c r="C52" s="37">
        <f t="shared" si="2"/>
        <v>1654225</v>
      </c>
      <c r="D52" s="37"/>
      <c r="E52" s="37">
        <f>1461718+15456716</f>
        <v>16918434</v>
      </c>
      <c r="F52" s="37"/>
      <c r="G52" s="37">
        <v>18572659</v>
      </c>
      <c r="H52" s="37"/>
      <c r="I52" s="96">
        <f t="shared" si="7"/>
        <v>2518959</v>
      </c>
      <c r="J52" s="96"/>
      <c r="K52" s="96">
        <f t="shared" si="8"/>
        <v>2800329</v>
      </c>
      <c r="L52" s="37"/>
      <c r="M52" s="37">
        <v>5319288</v>
      </c>
      <c r="N52" s="37"/>
      <c r="O52" s="37">
        <v>11727344</v>
      </c>
      <c r="P52" s="37"/>
      <c r="Q52" s="37">
        <v>353312</v>
      </c>
      <c r="R52" s="37"/>
      <c r="S52" s="37">
        <v>1172715</v>
      </c>
      <c r="T52" s="37"/>
      <c r="U52" s="37">
        <f t="shared" si="3"/>
        <v>13253371</v>
      </c>
      <c r="V52" s="37"/>
      <c r="W52" s="37">
        <f t="shared" si="0"/>
        <v>0</v>
      </c>
      <c r="X52" s="37"/>
      <c r="Y52" s="78" t="s">
        <v>47</v>
      </c>
      <c r="Z52" s="37"/>
      <c r="AA52" s="34">
        <v>916447</v>
      </c>
      <c r="AB52" s="34"/>
      <c r="AC52" s="34">
        <f>1031531-576643</f>
        <v>454888</v>
      </c>
      <c r="AD52" s="34"/>
      <c r="AE52" s="34">
        <v>576643</v>
      </c>
      <c r="AF52" s="34"/>
      <c r="AG52" s="38">
        <f t="shared" si="4"/>
        <v>-115084</v>
      </c>
      <c r="AH52" s="38"/>
      <c r="AI52" s="38">
        <v>-177651</v>
      </c>
      <c r="AJ52" s="38"/>
      <c r="AK52" s="34">
        <v>15000</v>
      </c>
      <c r="AL52" s="34"/>
      <c r="AM52" s="34">
        <v>0</v>
      </c>
      <c r="AN52" s="34"/>
      <c r="AO52" s="34">
        <v>13804</v>
      </c>
      <c r="AP52" s="34"/>
      <c r="AQ52" s="38">
        <f t="shared" si="5"/>
        <v>-263931</v>
      </c>
      <c r="AR52" s="38"/>
      <c r="AS52" s="106" t="s">
        <v>163</v>
      </c>
      <c r="AT52" s="34"/>
      <c r="AU52" s="106" t="s">
        <v>163</v>
      </c>
      <c r="AV52" s="34"/>
      <c r="AW52" s="34">
        <f t="shared" si="6"/>
        <v>-864734</v>
      </c>
      <c r="AX52" s="34"/>
      <c r="AY52" s="78" t="s">
        <v>47</v>
      </c>
      <c r="AZ52" s="34"/>
      <c r="BA52" s="34">
        <v>0</v>
      </c>
      <c r="BB52" s="34"/>
      <c r="BC52" s="34">
        <v>0</v>
      </c>
      <c r="BD52" s="34"/>
      <c r="BE52" s="34">
        <f>281639+2489750</f>
        <v>2771389</v>
      </c>
      <c r="BF52" s="34"/>
      <c r="BG52" s="34">
        <f>28457+483</f>
        <v>28940</v>
      </c>
      <c r="BH52" s="34"/>
      <c r="BI52" s="34"/>
      <c r="BJ52" s="34"/>
      <c r="BK52" s="34">
        <f t="shared" si="1"/>
        <v>2800329</v>
      </c>
      <c r="BL52" s="8"/>
    </row>
    <row r="53" spans="1:64" ht="12">
      <c r="A53" s="28" t="s">
        <v>48</v>
      </c>
      <c r="C53" s="37">
        <v>1406175</v>
      </c>
      <c r="D53" s="37"/>
      <c r="E53" s="37">
        <v>2355195</v>
      </c>
      <c r="F53" s="37"/>
      <c r="G53" s="37">
        <v>3761370</v>
      </c>
      <c r="H53" s="37"/>
      <c r="I53" s="96">
        <v>69361</v>
      </c>
      <c r="J53" s="96"/>
      <c r="K53" s="96">
        <v>74498</v>
      </c>
      <c r="L53" s="37"/>
      <c r="M53" s="37">
        <v>143859</v>
      </c>
      <c r="N53" s="37"/>
      <c r="O53" s="37">
        <v>0</v>
      </c>
      <c r="P53" s="37"/>
      <c r="Q53" s="37">
        <v>0</v>
      </c>
      <c r="R53" s="37"/>
      <c r="S53" s="37">
        <v>3617511</v>
      </c>
      <c r="T53" s="37"/>
      <c r="U53" s="37">
        <f t="shared" si="3"/>
        <v>3617511</v>
      </c>
      <c r="V53" s="37"/>
      <c r="W53" s="37">
        <f t="shared" si="0"/>
        <v>0</v>
      </c>
      <c r="X53" s="37"/>
      <c r="Y53" s="78" t="s">
        <v>48</v>
      </c>
      <c r="Z53" s="37"/>
      <c r="AA53" s="34">
        <v>929591</v>
      </c>
      <c r="AB53" s="34"/>
      <c r="AC53" s="34">
        <f>735474-85015</f>
        <v>650459</v>
      </c>
      <c r="AD53" s="34"/>
      <c r="AE53" s="34">
        <v>85015</v>
      </c>
      <c r="AF53" s="34"/>
      <c r="AG53" s="38">
        <v>194117</v>
      </c>
      <c r="AH53" s="38"/>
      <c r="AI53" s="38">
        <v>181811</v>
      </c>
      <c r="AJ53" s="38"/>
      <c r="AK53" s="34">
        <v>0</v>
      </c>
      <c r="AL53" s="34"/>
      <c r="AM53" s="34">
        <v>15364</v>
      </c>
      <c r="AN53" s="34"/>
      <c r="AO53" s="34">
        <v>0</v>
      </c>
      <c r="AP53" s="34"/>
      <c r="AQ53" s="38">
        <f t="shared" si="5"/>
        <v>360564</v>
      </c>
      <c r="AR53" s="38"/>
      <c r="AS53" s="34">
        <v>108011</v>
      </c>
      <c r="AT53" s="34"/>
      <c r="AU53" s="34">
        <v>52209</v>
      </c>
      <c r="AV53" s="34"/>
      <c r="AW53" s="34">
        <f t="shared" si="6"/>
        <v>1336814</v>
      </c>
      <c r="AX53" s="34"/>
      <c r="AY53" s="78" t="s">
        <v>48</v>
      </c>
      <c r="AZ53" s="34"/>
      <c r="BA53" s="34">
        <v>0</v>
      </c>
      <c r="BB53" s="34"/>
      <c r="BC53" s="34">
        <v>0</v>
      </c>
      <c r="BD53" s="34"/>
      <c r="BE53" s="34">
        <v>74498</v>
      </c>
      <c r="BF53" s="34"/>
      <c r="BG53" s="34">
        <v>0</v>
      </c>
      <c r="BH53" s="34"/>
      <c r="BI53" s="34"/>
      <c r="BJ53" s="34"/>
      <c r="BK53" s="34">
        <f t="shared" si="1"/>
        <v>74498</v>
      </c>
      <c r="BL53" s="34"/>
    </row>
    <row r="54" spans="1:64" ht="12">
      <c r="A54" s="28" t="s">
        <v>49</v>
      </c>
      <c r="C54" s="37">
        <f t="shared" si="2"/>
        <v>21057160</v>
      </c>
      <c r="D54" s="37"/>
      <c r="E54" s="37">
        <f>122858682+15891681</f>
        <v>138750363</v>
      </c>
      <c r="F54" s="37"/>
      <c r="G54" s="37">
        <f>133958318+25849205</f>
        <v>159807523</v>
      </c>
      <c r="H54" s="37"/>
      <c r="I54" s="96">
        <f t="shared" si="7"/>
        <v>16400460</v>
      </c>
      <c r="J54" s="96"/>
      <c r="K54" s="96">
        <f t="shared" si="8"/>
        <v>39261959</v>
      </c>
      <c r="L54" s="37"/>
      <c r="M54" s="37">
        <f>44274899+11387520</f>
        <v>55662419</v>
      </c>
      <c r="N54" s="37"/>
      <c r="O54" s="37">
        <f>80560289+5036659</f>
        <v>85596948</v>
      </c>
      <c r="P54" s="37"/>
      <c r="Q54" s="37">
        <v>0</v>
      </c>
      <c r="R54" s="37"/>
      <c r="S54" s="37">
        <f>9123130+9425026</f>
        <v>18548156</v>
      </c>
      <c r="T54" s="37"/>
      <c r="U54" s="37">
        <f t="shared" si="3"/>
        <v>104145104</v>
      </c>
      <c r="V54" s="37"/>
      <c r="W54" s="37">
        <f t="shared" si="0"/>
        <v>0</v>
      </c>
      <c r="X54" s="37"/>
      <c r="Y54" s="78" t="s">
        <v>49</v>
      </c>
      <c r="Z54" s="37"/>
      <c r="AA54" s="34">
        <f>14558052+5785106</f>
        <v>20343158</v>
      </c>
      <c r="AB54" s="34"/>
      <c r="AC54" s="34">
        <f>12165126+5486364-AE54</f>
        <v>13408908</v>
      </c>
      <c r="AD54" s="34"/>
      <c r="AE54" s="34">
        <f>3814028+428554</f>
        <v>4242582</v>
      </c>
      <c r="AF54" s="34"/>
      <c r="AG54" s="38">
        <f t="shared" si="4"/>
        <v>2691668</v>
      </c>
      <c r="AH54" s="38"/>
      <c r="AI54" s="38">
        <f>-2325072+1475</f>
        <v>-2323597</v>
      </c>
      <c r="AJ54" s="38"/>
      <c r="AK54" s="34">
        <v>0</v>
      </c>
      <c r="AL54" s="34"/>
      <c r="AM54" s="34">
        <v>0</v>
      </c>
      <c r="AN54" s="34"/>
      <c r="AO54" s="34">
        <f>430808</f>
        <v>430808</v>
      </c>
      <c r="AP54" s="34"/>
      <c r="AQ54" s="38">
        <f t="shared" si="5"/>
        <v>798879</v>
      </c>
      <c r="AR54" s="38"/>
      <c r="AS54" s="106" t="s">
        <v>163</v>
      </c>
      <c r="AT54" s="34"/>
      <c r="AU54" s="106" t="s">
        <v>163</v>
      </c>
      <c r="AV54" s="34"/>
      <c r="AW54" s="34">
        <f t="shared" si="6"/>
        <v>4656700</v>
      </c>
      <c r="AX54" s="34"/>
      <c r="AY54" s="78" t="s">
        <v>49</v>
      </c>
      <c r="AZ54" s="34"/>
      <c r="BA54" s="34">
        <f>1693300</f>
        <v>1693300</v>
      </c>
      <c r="BB54" s="34"/>
      <c r="BC54" s="34">
        <v>0</v>
      </c>
      <c r="BD54" s="34"/>
      <c r="BE54" s="34">
        <f>7251098</f>
        <v>7251098</v>
      </c>
      <c r="BF54" s="34"/>
      <c r="BG54" s="34">
        <f>29591453+721788+4320</f>
        <v>30317561</v>
      </c>
      <c r="BH54" s="34"/>
      <c r="BI54" s="34"/>
      <c r="BJ54" s="34"/>
      <c r="BK54" s="34">
        <f t="shared" si="1"/>
        <v>39261959</v>
      </c>
      <c r="BL54" s="8"/>
    </row>
    <row r="55" spans="1:64" ht="11.25" customHeight="1" hidden="1">
      <c r="A55" s="28" t="s">
        <v>171</v>
      </c>
      <c r="C55" s="37">
        <f t="shared" si="2"/>
        <v>0</v>
      </c>
      <c r="D55" s="37"/>
      <c r="E55" s="37">
        <v>0</v>
      </c>
      <c r="F55" s="37"/>
      <c r="G55" s="37">
        <v>0</v>
      </c>
      <c r="H55" s="37"/>
      <c r="I55" s="96">
        <f t="shared" si="7"/>
        <v>0</v>
      </c>
      <c r="J55" s="96"/>
      <c r="K55" s="96">
        <f t="shared" si="8"/>
        <v>0</v>
      </c>
      <c r="L55" s="37"/>
      <c r="M55" s="37">
        <v>0</v>
      </c>
      <c r="N55" s="37"/>
      <c r="O55" s="37">
        <v>0</v>
      </c>
      <c r="P55" s="37"/>
      <c r="Q55" s="37">
        <v>0</v>
      </c>
      <c r="R55" s="37"/>
      <c r="S55" s="37">
        <v>0</v>
      </c>
      <c r="T55" s="37"/>
      <c r="U55" s="37">
        <f t="shared" si="3"/>
        <v>0</v>
      </c>
      <c r="V55" s="37"/>
      <c r="W55" s="37">
        <f t="shared" si="0"/>
        <v>0</v>
      </c>
      <c r="X55" s="37"/>
      <c r="Y55" s="78" t="s">
        <v>171</v>
      </c>
      <c r="Z55" s="37"/>
      <c r="AA55" s="34">
        <v>1947716</v>
      </c>
      <c r="AB55" s="34"/>
      <c r="AC55" s="34">
        <v>810242</v>
      </c>
      <c r="AD55" s="34"/>
      <c r="AE55" s="34">
        <v>0</v>
      </c>
      <c r="AF55" s="34"/>
      <c r="AG55" s="38">
        <f t="shared" si="4"/>
        <v>1137474</v>
      </c>
      <c r="AH55" s="38"/>
      <c r="AI55" s="38">
        <v>0</v>
      </c>
      <c r="AJ55" s="38"/>
      <c r="AK55" s="34">
        <v>243</v>
      </c>
      <c r="AL55" s="34"/>
      <c r="AM55" s="34">
        <v>1478992</v>
      </c>
      <c r="AN55" s="34"/>
      <c r="AO55" s="34">
        <v>0</v>
      </c>
      <c r="AP55" s="34"/>
      <c r="AQ55" s="38">
        <f t="shared" si="5"/>
        <v>-341275</v>
      </c>
      <c r="AR55" s="38"/>
      <c r="AS55" s="34">
        <v>0</v>
      </c>
      <c r="AT55" s="34"/>
      <c r="AU55" s="106" t="s">
        <v>163</v>
      </c>
      <c r="AV55" s="34"/>
      <c r="AW55" s="34">
        <f t="shared" si="6"/>
        <v>0</v>
      </c>
      <c r="AX55" s="34"/>
      <c r="AY55" s="78" t="s">
        <v>171</v>
      </c>
      <c r="AZ55" s="34"/>
      <c r="BA55" s="34">
        <v>0</v>
      </c>
      <c r="BB55" s="34"/>
      <c r="BC55" s="34">
        <v>0</v>
      </c>
      <c r="BD55" s="34"/>
      <c r="BE55" s="34">
        <v>0</v>
      </c>
      <c r="BF55" s="34"/>
      <c r="BG55" s="34">
        <v>0</v>
      </c>
      <c r="BH55" s="34"/>
      <c r="BI55" s="34"/>
      <c r="BJ55" s="34"/>
      <c r="BK55" s="34">
        <f t="shared" si="1"/>
        <v>0</v>
      </c>
      <c r="BL55" s="8"/>
    </row>
    <row r="56" spans="1:64" ht="12">
      <c r="A56" s="28" t="s">
        <v>50</v>
      </c>
      <c r="C56" s="37">
        <f t="shared" si="2"/>
        <v>2645706</v>
      </c>
      <c r="D56" s="37"/>
      <c r="E56" s="37">
        <v>9035623</v>
      </c>
      <c r="F56" s="37"/>
      <c r="G56" s="37">
        <v>11681329</v>
      </c>
      <c r="H56" s="37"/>
      <c r="I56" s="96">
        <f t="shared" si="7"/>
        <v>151623</v>
      </c>
      <c r="J56" s="96"/>
      <c r="K56" s="96">
        <f t="shared" si="8"/>
        <v>503000</v>
      </c>
      <c r="L56" s="37"/>
      <c r="M56" s="37">
        <v>654623</v>
      </c>
      <c r="N56" s="37"/>
      <c r="O56" s="37">
        <v>0</v>
      </c>
      <c r="P56" s="37"/>
      <c r="Q56" s="37">
        <v>0</v>
      </c>
      <c r="R56" s="37"/>
      <c r="S56" s="37">
        <v>11026706</v>
      </c>
      <c r="T56" s="37"/>
      <c r="U56" s="37">
        <f t="shared" si="3"/>
        <v>11026706</v>
      </c>
      <c r="V56" s="37"/>
      <c r="W56" s="37">
        <f t="shared" si="0"/>
        <v>0</v>
      </c>
      <c r="X56" s="37"/>
      <c r="Y56" s="78" t="s">
        <v>50</v>
      </c>
      <c r="Z56" s="37"/>
      <c r="AA56" s="34">
        <v>1821201</v>
      </c>
      <c r="AB56" s="34"/>
      <c r="AC56" s="34">
        <f>1493353-100465</f>
        <v>1392888</v>
      </c>
      <c r="AD56" s="34"/>
      <c r="AE56" s="34">
        <v>327848</v>
      </c>
      <c r="AF56" s="34"/>
      <c r="AG56" s="38">
        <f t="shared" si="4"/>
        <v>100465</v>
      </c>
      <c r="AH56" s="38"/>
      <c r="AI56" s="38">
        <v>-27439</v>
      </c>
      <c r="AJ56" s="38"/>
      <c r="AK56" s="34">
        <v>91194</v>
      </c>
      <c r="AL56" s="34"/>
      <c r="AM56" s="34">
        <v>64744</v>
      </c>
      <c r="AN56" s="34"/>
      <c r="AO56" s="34">
        <v>0</v>
      </c>
      <c r="AP56" s="34"/>
      <c r="AQ56" s="38">
        <f t="shared" si="5"/>
        <v>99476</v>
      </c>
      <c r="AR56" s="38"/>
      <c r="AS56" s="34">
        <v>144113</v>
      </c>
      <c r="AT56" s="34"/>
      <c r="AU56" s="106" t="s">
        <v>163</v>
      </c>
      <c r="AV56" s="34"/>
      <c r="AW56" s="34">
        <f t="shared" si="6"/>
        <v>2494083</v>
      </c>
      <c r="AX56" s="34"/>
      <c r="AY56" s="78" t="s">
        <v>50</v>
      </c>
      <c r="AZ56" s="34"/>
      <c r="BA56" s="34">
        <v>0</v>
      </c>
      <c r="BB56" s="34"/>
      <c r="BC56" s="34">
        <v>503000</v>
      </c>
      <c r="BD56" s="34"/>
      <c r="BE56" s="34">
        <v>0</v>
      </c>
      <c r="BF56" s="34"/>
      <c r="BG56" s="34">
        <v>0</v>
      </c>
      <c r="BH56" s="34"/>
      <c r="BI56" s="34"/>
      <c r="BJ56" s="34"/>
      <c r="BK56" s="34">
        <f t="shared" si="1"/>
        <v>503000</v>
      </c>
      <c r="BL56" s="8"/>
    </row>
    <row r="57" spans="1:64" ht="12">
      <c r="A57" s="28" t="s">
        <v>51</v>
      </c>
      <c r="C57" s="37">
        <f t="shared" si="2"/>
        <v>3028291</v>
      </c>
      <c r="D57" s="37"/>
      <c r="E57" s="37">
        <v>12127215</v>
      </c>
      <c r="F57" s="37"/>
      <c r="G57" s="37">
        <v>15155506</v>
      </c>
      <c r="H57" s="37"/>
      <c r="I57" s="96">
        <f t="shared" si="7"/>
        <v>901932</v>
      </c>
      <c r="J57" s="96"/>
      <c r="K57" s="96">
        <f t="shared" si="8"/>
        <v>4358916</v>
      </c>
      <c r="L57" s="37"/>
      <c r="M57" s="37">
        <f>5260848</f>
        <v>5260848</v>
      </c>
      <c r="N57" s="37"/>
      <c r="O57" s="37">
        <v>0</v>
      </c>
      <c r="P57" s="37"/>
      <c r="Q57" s="37">
        <v>0</v>
      </c>
      <c r="R57" s="37"/>
      <c r="S57" s="37">
        <f>9894655+3</f>
        <v>9894658</v>
      </c>
      <c r="T57" s="37"/>
      <c r="U57" s="37">
        <f t="shared" si="3"/>
        <v>9894658</v>
      </c>
      <c r="V57" s="37"/>
      <c r="W57" s="37">
        <f t="shared" si="0"/>
        <v>0</v>
      </c>
      <c r="X57" s="37"/>
      <c r="Y57" s="78" t="s">
        <v>51</v>
      </c>
      <c r="Z57" s="37"/>
      <c r="AA57" s="34">
        <v>2047667</v>
      </c>
      <c r="AB57" s="34"/>
      <c r="AC57" s="34">
        <v>916452</v>
      </c>
      <c r="AD57" s="34"/>
      <c r="AE57" s="34">
        <v>466917</v>
      </c>
      <c r="AF57" s="34"/>
      <c r="AG57" s="38">
        <f t="shared" si="4"/>
        <v>664298</v>
      </c>
      <c r="AH57" s="38"/>
      <c r="AI57" s="38">
        <v>-160539</v>
      </c>
      <c r="AJ57" s="38"/>
      <c r="AK57" s="34">
        <v>1006098</v>
      </c>
      <c r="AL57" s="34"/>
      <c r="AM57" s="34">
        <v>648518</v>
      </c>
      <c r="AN57" s="34"/>
      <c r="AO57" s="34">
        <v>0</v>
      </c>
      <c r="AP57" s="34"/>
      <c r="AQ57" s="38">
        <f>+AG57+AI57+AK57-AM57+AO57</f>
        <v>861339</v>
      </c>
      <c r="AR57" s="38"/>
      <c r="AS57" s="34">
        <v>323336</v>
      </c>
      <c r="AT57" s="34"/>
      <c r="AU57" s="106" t="s">
        <v>163</v>
      </c>
      <c r="AV57" s="34"/>
      <c r="AW57" s="34">
        <f t="shared" si="6"/>
        <v>2126359</v>
      </c>
      <c r="AX57" s="34"/>
      <c r="AY57" s="78" t="s">
        <v>51</v>
      </c>
      <c r="AZ57" s="34"/>
      <c r="BA57" s="34">
        <v>0</v>
      </c>
      <c r="BB57" s="34"/>
      <c r="BC57" s="34">
        <v>2380000</v>
      </c>
      <c r="BD57" s="34"/>
      <c r="BE57" s="34">
        <v>0</v>
      </c>
      <c r="BF57" s="34"/>
      <c r="BG57" s="34">
        <f>620000+1358916</f>
        <v>1978916</v>
      </c>
      <c r="BH57" s="34"/>
      <c r="BI57" s="34"/>
      <c r="BJ57" s="34"/>
      <c r="BK57" s="34">
        <f t="shared" si="1"/>
        <v>4358916</v>
      </c>
      <c r="BL57" s="8"/>
    </row>
    <row r="58" spans="1:64" ht="12">
      <c r="A58" s="28" t="s">
        <v>52</v>
      </c>
      <c r="C58" s="37">
        <f t="shared" si="2"/>
        <v>338962</v>
      </c>
      <c r="D58" s="37"/>
      <c r="E58" s="37">
        <v>10677821</v>
      </c>
      <c r="F58" s="37"/>
      <c r="G58" s="37">
        <v>11016783</v>
      </c>
      <c r="H58" s="37"/>
      <c r="I58" s="96">
        <f t="shared" si="7"/>
        <v>174352</v>
      </c>
      <c r="J58" s="96"/>
      <c r="K58" s="96">
        <f t="shared" si="8"/>
        <v>0</v>
      </c>
      <c r="L58" s="37"/>
      <c r="M58" s="37">
        <v>174352</v>
      </c>
      <c r="N58" s="37"/>
      <c r="O58" s="37">
        <v>10677821</v>
      </c>
      <c r="P58" s="37"/>
      <c r="Q58" s="37">
        <v>0</v>
      </c>
      <c r="R58" s="37"/>
      <c r="S58" s="37">
        <v>164610</v>
      </c>
      <c r="T58" s="37"/>
      <c r="U58" s="37">
        <f t="shared" si="3"/>
        <v>10842431</v>
      </c>
      <c r="V58" s="37"/>
      <c r="W58" s="37">
        <f t="shared" si="0"/>
        <v>0</v>
      </c>
      <c r="X58" s="37"/>
      <c r="Y58" s="78" t="s">
        <v>52</v>
      </c>
      <c r="Z58" s="37"/>
      <c r="AA58" s="34">
        <v>1065375</v>
      </c>
      <c r="AB58" s="34"/>
      <c r="AC58" s="34">
        <f>1110971-281731</f>
        <v>829240</v>
      </c>
      <c r="AD58" s="34"/>
      <c r="AE58" s="34">
        <v>281731</v>
      </c>
      <c r="AF58" s="34"/>
      <c r="AG58" s="38">
        <f t="shared" si="4"/>
        <v>-45596</v>
      </c>
      <c r="AH58" s="38"/>
      <c r="AI58" s="38">
        <v>-79035</v>
      </c>
      <c r="AJ58" s="38"/>
      <c r="AK58" s="34">
        <v>0</v>
      </c>
      <c r="AL58" s="34"/>
      <c r="AM58" s="34">
        <v>0</v>
      </c>
      <c r="AN58" s="34"/>
      <c r="AO58" s="34">
        <f>-12224-101793</f>
        <v>-114017</v>
      </c>
      <c r="AP58" s="34"/>
      <c r="AQ58" s="38">
        <f t="shared" si="5"/>
        <v>-238648</v>
      </c>
      <c r="AR58" s="38"/>
      <c r="AS58" s="106" t="s">
        <v>163</v>
      </c>
      <c r="AT58" s="34"/>
      <c r="AU58" s="106" t="s">
        <v>163</v>
      </c>
      <c r="AV58" s="34"/>
      <c r="AW58" s="34">
        <f t="shared" si="6"/>
        <v>164610</v>
      </c>
      <c r="AX58" s="34"/>
      <c r="AY58" s="78" t="s">
        <v>52</v>
      </c>
      <c r="AZ58" s="34"/>
      <c r="BA58" s="34">
        <v>0</v>
      </c>
      <c r="BB58" s="34"/>
      <c r="BC58" s="34">
        <v>0</v>
      </c>
      <c r="BD58" s="34"/>
      <c r="BE58" s="34">
        <v>0</v>
      </c>
      <c r="BF58" s="34"/>
      <c r="BG58" s="34">
        <v>0</v>
      </c>
      <c r="BH58" s="34"/>
      <c r="BI58" s="34"/>
      <c r="BJ58" s="34"/>
      <c r="BK58" s="34">
        <f t="shared" si="1"/>
        <v>0</v>
      </c>
      <c r="BL58" s="8"/>
    </row>
    <row r="59" spans="1:64" ht="12">
      <c r="A59" s="28" t="s">
        <v>196</v>
      </c>
      <c r="C59" s="37">
        <f t="shared" si="2"/>
        <v>13591000</v>
      </c>
      <c r="D59" s="37"/>
      <c r="E59" s="37">
        <v>26473000</v>
      </c>
      <c r="F59" s="37"/>
      <c r="G59" s="37">
        <v>40064000</v>
      </c>
      <c r="H59" s="37"/>
      <c r="I59" s="96">
        <f t="shared" si="7"/>
        <v>270000</v>
      </c>
      <c r="J59" s="96"/>
      <c r="K59" s="96">
        <f t="shared" si="8"/>
        <v>2641000</v>
      </c>
      <c r="L59" s="37"/>
      <c r="M59" s="37">
        <v>2911000</v>
      </c>
      <c r="N59" s="37"/>
      <c r="O59" s="37">
        <v>33725000</v>
      </c>
      <c r="P59" s="37"/>
      <c r="Q59" s="37">
        <v>0</v>
      </c>
      <c r="R59" s="37"/>
      <c r="S59" s="37">
        <v>3428000</v>
      </c>
      <c r="T59" s="37"/>
      <c r="U59" s="37">
        <f t="shared" si="3"/>
        <v>37153000</v>
      </c>
      <c r="V59" s="37"/>
      <c r="W59" s="37">
        <f t="shared" si="0"/>
        <v>0</v>
      </c>
      <c r="X59" s="37"/>
      <c r="Y59" s="78" t="s">
        <v>196</v>
      </c>
      <c r="Z59" s="37"/>
      <c r="AA59" s="34">
        <v>1715000</v>
      </c>
      <c r="AB59" s="34"/>
      <c r="AC59" s="34">
        <f>1978000-1460000</f>
        <v>518000</v>
      </c>
      <c r="AD59" s="34"/>
      <c r="AE59" s="34">
        <v>1460000</v>
      </c>
      <c r="AF59" s="34"/>
      <c r="AG59" s="38">
        <f t="shared" si="4"/>
        <v>-263000</v>
      </c>
      <c r="AH59" s="38"/>
      <c r="AI59" s="38">
        <v>-204000</v>
      </c>
      <c r="AJ59" s="38"/>
      <c r="AK59" s="34">
        <v>0</v>
      </c>
      <c r="AL59" s="34"/>
      <c r="AM59" s="34">
        <v>0</v>
      </c>
      <c r="AN59" s="34"/>
      <c r="AO59" s="34">
        <v>1949000</v>
      </c>
      <c r="AP59" s="34"/>
      <c r="AQ59" s="38">
        <f t="shared" si="5"/>
        <v>1482000</v>
      </c>
      <c r="AR59" s="38"/>
      <c r="AS59" s="106" t="s">
        <v>163</v>
      </c>
      <c r="AT59" s="34"/>
      <c r="AU59" s="106" t="s">
        <v>163</v>
      </c>
      <c r="AV59" s="34"/>
      <c r="AW59" s="34">
        <f t="shared" si="6"/>
        <v>13321000</v>
      </c>
      <c r="AX59" s="34"/>
      <c r="AY59" s="78" t="s">
        <v>196</v>
      </c>
      <c r="AZ59" s="34"/>
      <c r="BA59" s="34">
        <v>0</v>
      </c>
      <c r="BB59" s="34"/>
      <c r="BC59" s="34">
        <v>0</v>
      </c>
      <c r="BD59" s="34"/>
      <c r="BE59" s="34">
        <f>2610000+31000</f>
        <v>2641000</v>
      </c>
      <c r="BF59" s="34"/>
      <c r="BG59" s="34">
        <v>0</v>
      </c>
      <c r="BH59" s="34"/>
      <c r="BI59" s="34"/>
      <c r="BJ59" s="34"/>
      <c r="BK59" s="34">
        <f t="shared" si="1"/>
        <v>2641000</v>
      </c>
      <c r="BL59" s="8"/>
    </row>
    <row r="60" spans="1:64" ht="11.25" customHeight="1" hidden="1">
      <c r="A60" s="28" t="s">
        <v>53</v>
      </c>
      <c r="C60" s="37">
        <f t="shared" si="2"/>
        <v>0</v>
      </c>
      <c r="D60" s="37"/>
      <c r="E60" s="37">
        <v>0</v>
      </c>
      <c r="F60" s="37"/>
      <c r="G60" s="37">
        <v>0</v>
      </c>
      <c r="H60" s="37"/>
      <c r="I60" s="96">
        <v>0</v>
      </c>
      <c r="J60" s="96"/>
      <c r="K60" s="96">
        <v>0</v>
      </c>
      <c r="L60" s="37"/>
      <c r="M60" s="37">
        <v>0</v>
      </c>
      <c r="N60" s="37"/>
      <c r="O60" s="37">
        <v>0</v>
      </c>
      <c r="P60" s="37"/>
      <c r="Q60" s="37">
        <v>0</v>
      </c>
      <c r="R60" s="37"/>
      <c r="S60" s="37">
        <v>0</v>
      </c>
      <c r="T60" s="37"/>
      <c r="U60" s="37">
        <f t="shared" si="3"/>
        <v>0</v>
      </c>
      <c r="V60" s="37"/>
      <c r="W60" s="37">
        <f t="shared" si="0"/>
        <v>0</v>
      </c>
      <c r="X60" s="37"/>
      <c r="Y60" s="78" t="s">
        <v>53</v>
      </c>
      <c r="Z60" s="37"/>
      <c r="AA60" s="34">
        <f>68646+15735+7523</f>
        <v>91904</v>
      </c>
      <c r="AB60" s="34"/>
      <c r="AC60" s="34">
        <f>75999+15497+13468</f>
        <v>104964</v>
      </c>
      <c r="AD60" s="34"/>
      <c r="AE60" s="34"/>
      <c r="AF60" s="34"/>
      <c r="AG60" s="38">
        <f t="shared" si="4"/>
        <v>-13060</v>
      </c>
      <c r="AH60" s="38"/>
      <c r="AI60" s="38">
        <v>0</v>
      </c>
      <c r="AJ60" s="38"/>
      <c r="AK60" s="34">
        <v>0</v>
      </c>
      <c r="AL60" s="34"/>
      <c r="AM60" s="34">
        <v>0</v>
      </c>
      <c r="AN60" s="34"/>
      <c r="AO60" s="34">
        <v>0</v>
      </c>
      <c r="AP60" s="34"/>
      <c r="AQ60" s="38">
        <f t="shared" si="5"/>
        <v>-13060</v>
      </c>
      <c r="AR60" s="38"/>
      <c r="AS60" s="106" t="s">
        <v>163</v>
      </c>
      <c r="AT60" s="34"/>
      <c r="AU60" s="106" t="s">
        <v>163</v>
      </c>
      <c r="AV60" s="34"/>
      <c r="AW60" s="34">
        <f t="shared" si="6"/>
        <v>0</v>
      </c>
      <c r="AX60" s="34"/>
      <c r="AY60" s="78" t="s">
        <v>53</v>
      </c>
      <c r="AZ60" s="34"/>
      <c r="BA60" s="34">
        <v>0</v>
      </c>
      <c r="BB60" s="34"/>
      <c r="BC60" s="34">
        <v>0</v>
      </c>
      <c r="BD60" s="34"/>
      <c r="BE60" s="34">
        <v>0</v>
      </c>
      <c r="BF60" s="34"/>
      <c r="BG60" s="34">
        <v>0</v>
      </c>
      <c r="BH60" s="34"/>
      <c r="BI60" s="34"/>
      <c r="BJ60" s="34"/>
      <c r="BK60" s="34">
        <f t="shared" si="1"/>
        <v>0</v>
      </c>
      <c r="BL60" s="8"/>
    </row>
    <row r="61" spans="1:64" ht="12">
      <c r="A61" s="28" t="s">
        <v>54</v>
      </c>
      <c r="C61" s="37">
        <f t="shared" si="2"/>
        <v>17015037</v>
      </c>
      <c r="D61" s="37"/>
      <c r="E61" s="37">
        <v>62547971</v>
      </c>
      <c r="F61" s="37"/>
      <c r="G61" s="37">
        <v>79563008</v>
      </c>
      <c r="H61" s="37"/>
      <c r="I61" s="96">
        <f t="shared" si="7"/>
        <v>4674245</v>
      </c>
      <c r="J61" s="96"/>
      <c r="K61" s="96">
        <f t="shared" si="8"/>
        <v>27636396</v>
      </c>
      <c r="L61" s="37"/>
      <c r="M61" s="37">
        <v>32310641</v>
      </c>
      <c r="N61" s="37"/>
      <c r="O61" s="37">
        <v>33330988</v>
      </c>
      <c r="P61" s="37"/>
      <c r="Q61" s="37">
        <v>5656851</v>
      </c>
      <c r="R61" s="37"/>
      <c r="S61" s="37">
        <v>8264528</v>
      </c>
      <c r="T61" s="37"/>
      <c r="U61" s="37">
        <f t="shared" si="3"/>
        <v>47252367</v>
      </c>
      <c r="V61" s="37"/>
      <c r="W61" s="37">
        <f t="shared" si="0"/>
        <v>0</v>
      </c>
      <c r="X61" s="37"/>
      <c r="Y61" s="78" t="s">
        <v>54</v>
      </c>
      <c r="Z61" s="37"/>
      <c r="AA61" s="34">
        <v>18327421</v>
      </c>
      <c r="AB61" s="34"/>
      <c r="AC61" s="34">
        <f>15489931-2681875</f>
        <v>12808056</v>
      </c>
      <c r="AD61" s="34"/>
      <c r="AE61" s="34">
        <v>2681875</v>
      </c>
      <c r="AF61" s="34"/>
      <c r="AG61" s="38">
        <f t="shared" si="4"/>
        <v>2837490</v>
      </c>
      <c r="AH61" s="38"/>
      <c r="AI61" s="38">
        <v>-1223770</v>
      </c>
      <c r="AJ61" s="38"/>
      <c r="AK61" s="34">
        <v>9762956</v>
      </c>
      <c r="AL61" s="34"/>
      <c r="AM61" s="34">
        <v>9324559</v>
      </c>
      <c r="AN61" s="34"/>
      <c r="AO61" s="34">
        <v>2381085</v>
      </c>
      <c r="AP61" s="34"/>
      <c r="AQ61" s="38">
        <f t="shared" si="5"/>
        <v>4433202</v>
      </c>
      <c r="AR61" s="38"/>
      <c r="AS61" s="106" t="s">
        <v>163</v>
      </c>
      <c r="AT61" s="34"/>
      <c r="AU61" s="106" t="s">
        <v>163</v>
      </c>
      <c r="AV61" s="34"/>
      <c r="AW61" s="34">
        <f t="shared" si="6"/>
        <v>12340792</v>
      </c>
      <c r="AX61" s="34"/>
      <c r="AY61" s="78" t="s">
        <v>54</v>
      </c>
      <c r="AZ61" s="34"/>
      <c r="BA61" s="34">
        <v>274842</v>
      </c>
      <c r="BB61" s="34"/>
      <c r="BC61" s="34">
        <f>8460000-754672</f>
        <v>7705328</v>
      </c>
      <c r="BD61" s="34"/>
      <c r="BE61" s="34">
        <v>18379260</v>
      </c>
      <c r="BF61" s="34"/>
      <c r="BG61" s="34">
        <f>191648+1085318</f>
        <v>1276966</v>
      </c>
      <c r="BH61" s="34"/>
      <c r="BI61" s="34"/>
      <c r="BJ61" s="34"/>
      <c r="BK61" s="34">
        <f t="shared" si="1"/>
        <v>27636396</v>
      </c>
      <c r="BL61" s="8"/>
    </row>
    <row r="62" spans="1:64" ht="12">
      <c r="A62" s="28" t="s">
        <v>55</v>
      </c>
      <c r="C62" s="37">
        <f t="shared" si="2"/>
        <v>1986532</v>
      </c>
      <c r="D62" s="37"/>
      <c r="E62" s="37">
        <v>10257370</v>
      </c>
      <c r="F62" s="37"/>
      <c r="G62" s="37">
        <v>12243902</v>
      </c>
      <c r="H62" s="37"/>
      <c r="I62" s="96">
        <f t="shared" si="7"/>
        <v>109943</v>
      </c>
      <c r="J62" s="96"/>
      <c r="K62" s="96">
        <f t="shared" si="8"/>
        <v>3485386</v>
      </c>
      <c r="L62" s="37"/>
      <c r="M62" s="37">
        <v>3595329</v>
      </c>
      <c r="N62" s="37"/>
      <c r="O62" s="37">
        <v>0</v>
      </c>
      <c r="P62" s="37"/>
      <c r="Q62" s="37">
        <v>0</v>
      </c>
      <c r="R62" s="37"/>
      <c r="S62" s="37">
        <v>8648573</v>
      </c>
      <c r="T62" s="37"/>
      <c r="U62" s="37">
        <f t="shared" si="3"/>
        <v>8648573</v>
      </c>
      <c r="V62" s="37"/>
      <c r="W62" s="37">
        <f t="shared" si="0"/>
        <v>0</v>
      </c>
      <c r="X62" s="37"/>
      <c r="Y62" s="78" t="s">
        <v>55</v>
      </c>
      <c r="Z62" s="37"/>
      <c r="AA62" s="34">
        <v>996897</v>
      </c>
      <c r="AB62" s="34"/>
      <c r="AC62" s="34">
        <v>677292</v>
      </c>
      <c r="AD62" s="34"/>
      <c r="AE62" s="34">
        <v>338692</v>
      </c>
      <c r="AF62" s="34"/>
      <c r="AG62" s="38">
        <f t="shared" si="4"/>
        <v>-19087</v>
      </c>
      <c r="AH62" s="38"/>
      <c r="AI62" s="38">
        <v>0</v>
      </c>
      <c r="AJ62" s="38"/>
      <c r="AK62" s="34">
        <v>1294</v>
      </c>
      <c r="AL62" s="34"/>
      <c r="AM62" s="34">
        <v>0</v>
      </c>
      <c r="AN62" s="34"/>
      <c r="AO62" s="34">
        <f>45000+347480</f>
        <v>392480</v>
      </c>
      <c r="AP62" s="34"/>
      <c r="AQ62" s="38">
        <f t="shared" si="5"/>
        <v>374687</v>
      </c>
      <c r="AR62" s="38"/>
      <c r="AS62" s="34">
        <v>12513</v>
      </c>
      <c r="AT62" s="34"/>
      <c r="AU62" s="34">
        <v>1995</v>
      </c>
      <c r="AV62" s="34"/>
      <c r="AW62" s="34">
        <f t="shared" si="6"/>
        <v>1876589</v>
      </c>
      <c r="AX62" s="34"/>
      <c r="AY62" s="78" t="s">
        <v>55</v>
      </c>
      <c r="AZ62" s="34"/>
      <c r="BA62" s="34">
        <f>53000+1493000</f>
        <v>1546000</v>
      </c>
      <c r="BB62" s="34"/>
      <c r="BC62" s="34">
        <f>15000+1316800</f>
        <v>1331800</v>
      </c>
      <c r="BD62" s="34"/>
      <c r="BE62" s="34">
        <v>607586</v>
      </c>
      <c r="BF62" s="34"/>
      <c r="BG62" s="34">
        <v>0</v>
      </c>
      <c r="BH62" s="34"/>
      <c r="BI62" s="34"/>
      <c r="BJ62" s="34"/>
      <c r="BK62" s="34">
        <f t="shared" si="1"/>
        <v>3485386</v>
      </c>
      <c r="BL62" s="34"/>
    </row>
    <row r="63" spans="1:64" ht="12">
      <c r="A63" s="28" t="s">
        <v>56</v>
      </c>
      <c r="C63" s="37">
        <f t="shared" si="2"/>
        <v>15174271</v>
      </c>
      <c r="D63" s="37"/>
      <c r="E63" s="37">
        <v>150074106</v>
      </c>
      <c r="F63" s="37"/>
      <c r="G63" s="37">
        <v>165248377</v>
      </c>
      <c r="H63" s="37"/>
      <c r="I63" s="96">
        <f t="shared" si="7"/>
        <v>3297039</v>
      </c>
      <c r="J63" s="96"/>
      <c r="K63" s="96">
        <f t="shared" si="8"/>
        <v>54551150</v>
      </c>
      <c r="L63" s="37"/>
      <c r="M63" s="37">
        <v>57848189</v>
      </c>
      <c r="N63" s="37"/>
      <c r="O63" s="37">
        <v>94187146</v>
      </c>
      <c r="P63" s="37"/>
      <c r="Q63" s="37">
        <v>13213042</v>
      </c>
      <c r="R63" s="37"/>
      <c r="S63" s="37">
        <v>0</v>
      </c>
      <c r="T63" s="37"/>
      <c r="U63" s="37">
        <f t="shared" si="3"/>
        <v>107400188</v>
      </c>
      <c r="V63" s="37"/>
      <c r="W63" s="37">
        <f t="shared" si="0"/>
        <v>0</v>
      </c>
      <c r="X63" s="37"/>
      <c r="Y63" s="78" t="s">
        <v>56</v>
      </c>
      <c r="Z63" s="37"/>
      <c r="AA63" s="34">
        <v>9344078</v>
      </c>
      <c r="AB63" s="34"/>
      <c r="AC63" s="34">
        <f>11718439-2783278</f>
        <v>8935161</v>
      </c>
      <c r="AD63" s="34"/>
      <c r="AE63" s="34">
        <v>2783278</v>
      </c>
      <c r="AF63" s="34"/>
      <c r="AG63" s="38">
        <f t="shared" si="4"/>
        <v>-2374361</v>
      </c>
      <c r="AH63" s="38"/>
      <c r="AI63" s="38">
        <v>-1163904</v>
      </c>
      <c r="AJ63" s="38"/>
      <c r="AK63" s="34">
        <v>0</v>
      </c>
      <c r="AL63" s="34"/>
      <c r="AM63" s="34">
        <v>43517</v>
      </c>
      <c r="AN63" s="34"/>
      <c r="AO63" s="34">
        <v>7694240</v>
      </c>
      <c r="AP63" s="34"/>
      <c r="AQ63" s="38">
        <f t="shared" si="5"/>
        <v>4112458</v>
      </c>
      <c r="AR63" s="38"/>
      <c r="AS63" s="106" t="s">
        <v>163</v>
      </c>
      <c r="AT63" s="34"/>
      <c r="AU63" s="106" t="s">
        <v>163</v>
      </c>
      <c r="AV63" s="34"/>
      <c r="AW63" s="34">
        <f t="shared" si="6"/>
        <v>11877232</v>
      </c>
      <c r="AX63" s="34"/>
      <c r="AY63" s="78" t="s">
        <v>56</v>
      </c>
      <c r="AZ63" s="34"/>
      <c r="BA63" s="34">
        <v>0</v>
      </c>
      <c r="BB63" s="34"/>
      <c r="BC63" s="34">
        <v>0</v>
      </c>
      <c r="BD63" s="34"/>
      <c r="BE63" s="34">
        <v>54211535</v>
      </c>
      <c r="BF63" s="34"/>
      <c r="BG63" s="34">
        <v>339615</v>
      </c>
      <c r="BH63" s="34"/>
      <c r="BI63" s="34"/>
      <c r="BJ63" s="34"/>
      <c r="BK63" s="34">
        <f t="shared" si="1"/>
        <v>54551150</v>
      </c>
      <c r="BL63" s="34"/>
    </row>
    <row r="64" spans="1:65" ht="11.25" customHeight="1" hidden="1">
      <c r="A64" s="15" t="s">
        <v>173</v>
      </c>
      <c r="B64" s="15"/>
      <c r="C64" s="37"/>
      <c r="D64" s="37"/>
      <c r="E64" s="37"/>
      <c r="F64" s="37"/>
      <c r="G64" s="37"/>
      <c r="H64" s="37"/>
      <c r="I64" s="96"/>
      <c r="J64" s="96"/>
      <c r="K64" s="96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>
        <f t="shared" si="0"/>
        <v>0</v>
      </c>
      <c r="X64" s="37"/>
      <c r="Y64" s="5" t="s">
        <v>173</v>
      </c>
      <c r="Z64" s="37"/>
      <c r="AA64" s="37" t="s">
        <v>165</v>
      </c>
      <c r="AB64" s="37"/>
      <c r="AC64" s="37" t="s">
        <v>165</v>
      </c>
      <c r="AD64" s="37"/>
      <c r="AE64" s="37" t="s">
        <v>165</v>
      </c>
      <c r="AF64" s="37"/>
      <c r="AG64" s="37" t="s">
        <v>165</v>
      </c>
      <c r="AH64" s="37"/>
      <c r="AI64" s="37" t="s">
        <v>165</v>
      </c>
      <c r="AJ64" s="37"/>
      <c r="AK64" s="37" t="s">
        <v>165</v>
      </c>
      <c r="AL64" s="37"/>
      <c r="AM64" s="37" t="s">
        <v>165</v>
      </c>
      <c r="AN64" s="37"/>
      <c r="AO64" s="37" t="s">
        <v>165</v>
      </c>
      <c r="AP64" s="37"/>
      <c r="AQ64" s="37" t="s">
        <v>165</v>
      </c>
      <c r="AR64" s="37"/>
      <c r="AS64" s="37" t="s">
        <v>165</v>
      </c>
      <c r="AT64" s="37"/>
      <c r="AU64" s="106" t="s">
        <v>163</v>
      </c>
      <c r="AV64" s="37"/>
      <c r="AW64" s="37" t="s">
        <v>165</v>
      </c>
      <c r="AX64" s="37"/>
      <c r="AY64" s="5" t="s">
        <v>173</v>
      </c>
      <c r="AZ64" s="37"/>
      <c r="BA64" s="37" t="s">
        <v>165</v>
      </c>
      <c r="BB64" s="37"/>
      <c r="BC64" s="37" t="s">
        <v>165</v>
      </c>
      <c r="BD64" s="37"/>
      <c r="BE64" s="37" t="s">
        <v>165</v>
      </c>
      <c r="BF64" s="37"/>
      <c r="BG64" s="37" t="s">
        <v>165</v>
      </c>
      <c r="BH64" s="37"/>
      <c r="BI64" s="37"/>
      <c r="BJ64" s="37"/>
      <c r="BK64" s="34">
        <f t="shared" si="1"/>
        <v>0</v>
      </c>
      <c r="BL64" s="8"/>
      <c r="BM64" s="8"/>
    </row>
    <row r="65" spans="1:64" ht="11.25" customHeight="1" hidden="1">
      <c r="A65" s="28" t="s">
        <v>57</v>
      </c>
      <c r="C65" s="37"/>
      <c r="D65" s="37"/>
      <c r="E65" s="37"/>
      <c r="F65" s="37"/>
      <c r="G65" s="37"/>
      <c r="H65" s="37"/>
      <c r="I65" s="96"/>
      <c r="J65" s="96"/>
      <c r="K65" s="9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>
        <f t="shared" si="0"/>
        <v>0</v>
      </c>
      <c r="X65" s="37"/>
      <c r="Y65" s="78" t="s">
        <v>57</v>
      </c>
      <c r="Z65" s="37"/>
      <c r="AA65" s="34">
        <f>417006+6250</f>
        <v>423256</v>
      </c>
      <c r="AB65" s="34"/>
      <c r="AC65" s="34">
        <f>3750+354178</f>
        <v>357928</v>
      </c>
      <c r="AD65" s="34"/>
      <c r="AE65" s="34"/>
      <c r="AF65" s="34"/>
      <c r="AG65" s="38">
        <f t="shared" si="4"/>
        <v>65328</v>
      </c>
      <c r="AH65" s="38"/>
      <c r="AI65" s="38"/>
      <c r="AJ65" s="38"/>
      <c r="AK65" s="34"/>
      <c r="AL65" s="34"/>
      <c r="AM65" s="34"/>
      <c r="AN65" s="34"/>
      <c r="AO65" s="34"/>
      <c r="AP65" s="34"/>
      <c r="AQ65" s="38">
        <f t="shared" si="5"/>
        <v>65328</v>
      </c>
      <c r="AR65" s="38"/>
      <c r="AS65" s="34"/>
      <c r="AT65" s="34"/>
      <c r="AU65" s="106" t="s">
        <v>163</v>
      </c>
      <c r="AV65" s="34"/>
      <c r="AW65" s="34">
        <f t="shared" si="6"/>
        <v>0</v>
      </c>
      <c r="AX65" s="34"/>
      <c r="AY65" s="78" t="s">
        <v>57</v>
      </c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>
        <f t="shared" si="1"/>
        <v>0</v>
      </c>
      <c r="BL65" s="8"/>
    </row>
    <row r="66" spans="1:64" ht="12">
      <c r="A66" s="28" t="s">
        <v>58</v>
      </c>
      <c r="C66" s="37">
        <f t="shared" si="2"/>
        <v>1236415</v>
      </c>
      <c r="D66" s="37"/>
      <c r="E66" s="37">
        <f>4913458+3409869</f>
        <v>8323327</v>
      </c>
      <c r="F66" s="37"/>
      <c r="G66" s="37">
        <f>5503354+4056388</f>
        <v>9559742</v>
      </c>
      <c r="H66" s="37"/>
      <c r="I66" s="96">
        <f t="shared" si="7"/>
        <v>654418</v>
      </c>
      <c r="J66" s="96"/>
      <c r="K66" s="96">
        <f t="shared" si="8"/>
        <v>4324409</v>
      </c>
      <c r="L66" s="37"/>
      <c r="M66" s="37">
        <f>2875723+2103104</f>
        <v>4978827</v>
      </c>
      <c r="N66" s="37"/>
      <c r="O66" s="37">
        <v>0</v>
      </c>
      <c r="P66" s="37"/>
      <c r="Q66" s="37">
        <v>0</v>
      </c>
      <c r="R66" s="37"/>
      <c r="S66" s="37">
        <f>2627631+1953284</f>
        <v>4580915</v>
      </c>
      <c r="T66" s="37"/>
      <c r="U66" s="37">
        <f t="shared" si="3"/>
        <v>4580915</v>
      </c>
      <c r="V66" s="37"/>
      <c r="W66" s="37">
        <f t="shared" si="0"/>
        <v>0</v>
      </c>
      <c r="X66" s="37"/>
      <c r="Y66" s="78" t="s">
        <v>58</v>
      </c>
      <c r="Z66" s="37"/>
      <c r="AA66" s="37">
        <f>1264256+4692929</f>
        <v>5957185</v>
      </c>
      <c r="AB66" s="37"/>
      <c r="AC66" s="37">
        <f>1103223+4694606-172052-149269</f>
        <v>5476508</v>
      </c>
      <c r="AD66" s="37"/>
      <c r="AE66" s="37">
        <f>172052+149269</f>
        <v>321321</v>
      </c>
      <c r="AF66" s="37"/>
      <c r="AG66" s="38">
        <f t="shared" si="4"/>
        <v>159356</v>
      </c>
      <c r="AH66" s="38"/>
      <c r="AI66" s="37">
        <f>-131445-82765</f>
        <v>-214210</v>
      </c>
      <c r="AJ66" s="37"/>
      <c r="AK66" s="37">
        <v>0</v>
      </c>
      <c r="AL66" s="37"/>
      <c r="AM66" s="37">
        <v>0</v>
      </c>
      <c r="AN66" s="37"/>
      <c r="AO66" s="37">
        <v>0</v>
      </c>
      <c r="AP66" s="37"/>
      <c r="AQ66" s="38">
        <f t="shared" si="5"/>
        <v>-54854</v>
      </c>
      <c r="AR66" s="38"/>
      <c r="AS66" s="37">
        <f>29197+10527</f>
        <v>39724</v>
      </c>
      <c r="AT66" s="37"/>
      <c r="AU66" s="106" t="s">
        <v>163</v>
      </c>
      <c r="AV66" s="37"/>
      <c r="AW66" s="34">
        <f t="shared" si="6"/>
        <v>581997</v>
      </c>
      <c r="AX66" s="34"/>
      <c r="AY66" s="78" t="s">
        <v>58</v>
      </c>
      <c r="AZ66" s="34"/>
      <c r="BA66" s="37">
        <f>2719409-235200+1605000</f>
        <v>4089209</v>
      </c>
      <c r="BB66" s="37"/>
      <c r="BC66" s="37">
        <v>0</v>
      </c>
      <c r="BD66" s="37"/>
      <c r="BE66" s="37">
        <v>235200</v>
      </c>
      <c r="BF66" s="37"/>
      <c r="BG66" s="37">
        <v>0</v>
      </c>
      <c r="BH66" s="37"/>
      <c r="BI66" s="37"/>
      <c r="BJ66" s="37"/>
      <c r="BK66" s="34">
        <f t="shared" si="1"/>
        <v>4324409</v>
      </c>
      <c r="BL66" s="34"/>
    </row>
    <row r="67" spans="1:64" ht="11.25" customHeight="1" hidden="1">
      <c r="A67" s="28" t="s">
        <v>59</v>
      </c>
      <c r="C67" s="37">
        <f t="shared" si="2"/>
        <v>0</v>
      </c>
      <c r="D67" s="37"/>
      <c r="E67" s="37"/>
      <c r="F67" s="37"/>
      <c r="G67" s="37"/>
      <c r="H67" s="37"/>
      <c r="I67" s="96">
        <f t="shared" si="7"/>
        <v>0</v>
      </c>
      <c r="J67" s="96"/>
      <c r="K67" s="96">
        <f t="shared" si="8"/>
        <v>0</v>
      </c>
      <c r="L67" s="37"/>
      <c r="M67" s="37"/>
      <c r="N67" s="37"/>
      <c r="O67" s="37"/>
      <c r="P67" s="37"/>
      <c r="Q67" s="37"/>
      <c r="R67" s="37"/>
      <c r="S67" s="37"/>
      <c r="T67" s="37"/>
      <c r="U67" s="37">
        <f t="shared" si="3"/>
        <v>0</v>
      </c>
      <c r="V67" s="37"/>
      <c r="W67" s="37">
        <f t="shared" si="0"/>
        <v>0</v>
      </c>
      <c r="X67" s="37"/>
      <c r="Y67" s="78" t="s">
        <v>59</v>
      </c>
      <c r="Z67" s="37"/>
      <c r="AA67" s="34"/>
      <c r="AB67" s="34"/>
      <c r="AC67" s="34"/>
      <c r="AD67" s="34"/>
      <c r="AE67" s="34"/>
      <c r="AF67" s="34"/>
      <c r="AG67" s="38">
        <f t="shared" si="4"/>
        <v>0</v>
      </c>
      <c r="AH67" s="38"/>
      <c r="AI67" s="38"/>
      <c r="AJ67" s="38"/>
      <c r="AK67" s="34"/>
      <c r="AL67" s="34"/>
      <c r="AM67" s="34"/>
      <c r="AN67" s="34"/>
      <c r="AO67" s="34"/>
      <c r="AP67" s="34"/>
      <c r="AQ67" s="38">
        <f t="shared" si="5"/>
        <v>0</v>
      </c>
      <c r="AR67" s="38"/>
      <c r="AS67" s="34"/>
      <c r="AT67" s="34"/>
      <c r="AU67" s="106" t="s">
        <v>163</v>
      </c>
      <c r="AV67" s="34"/>
      <c r="AW67" s="34">
        <f t="shared" si="6"/>
        <v>0</v>
      </c>
      <c r="AX67" s="34"/>
      <c r="AY67" s="78" t="s">
        <v>59</v>
      </c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>
        <f t="shared" si="1"/>
        <v>0</v>
      </c>
      <c r="BL67" s="8"/>
    </row>
    <row r="68" spans="1:64" ht="12">
      <c r="A68" s="28" t="s">
        <v>60</v>
      </c>
      <c r="C68" s="37">
        <f t="shared" si="2"/>
        <v>99496916</v>
      </c>
      <c r="D68" s="37"/>
      <c r="E68" s="37">
        <f>213287258+38114549</f>
        <v>251401807</v>
      </c>
      <c r="F68" s="37"/>
      <c r="G68" s="37">
        <f>266487399+84411324</f>
        <v>350898723</v>
      </c>
      <c r="H68" s="37"/>
      <c r="I68" s="96">
        <f t="shared" si="7"/>
        <v>6265568</v>
      </c>
      <c r="J68" s="96"/>
      <c r="K68" s="96">
        <f t="shared" si="8"/>
        <v>137959739</v>
      </c>
      <c r="L68" s="37"/>
      <c r="M68" s="37">
        <f>100716623+43508684</f>
        <v>144225307</v>
      </c>
      <c r="N68" s="37"/>
      <c r="O68" s="37">
        <f>119488786-1885358</f>
        <v>117603428</v>
      </c>
      <c r="P68" s="37"/>
      <c r="Q68" s="37">
        <v>0</v>
      </c>
      <c r="R68" s="37"/>
      <c r="S68" s="37">
        <f>46281990+42787998</f>
        <v>89069988</v>
      </c>
      <c r="T68" s="37"/>
      <c r="U68" s="37">
        <f t="shared" si="3"/>
        <v>206673416</v>
      </c>
      <c r="V68" s="37"/>
      <c r="W68" s="37">
        <f t="shared" si="0"/>
        <v>0</v>
      </c>
      <c r="X68" s="37"/>
      <c r="Y68" s="78" t="s">
        <v>60</v>
      </c>
      <c r="Z68" s="37"/>
      <c r="AA68" s="34">
        <f>37601093+22693577</f>
        <v>60294670</v>
      </c>
      <c r="AB68" s="34"/>
      <c r="AC68" s="34">
        <f>32657556+16196571-7261798-1955494</f>
        <v>39636835</v>
      </c>
      <c r="AD68" s="34"/>
      <c r="AE68" s="34">
        <f>7261798+1955494</f>
        <v>9217292</v>
      </c>
      <c r="AF68" s="34"/>
      <c r="AG68" s="38">
        <f t="shared" si="4"/>
        <v>11440543</v>
      </c>
      <c r="AH68" s="38"/>
      <c r="AI68" s="38">
        <f>406099-2745668</f>
        <v>-2339569</v>
      </c>
      <c r="AJ68" s="38"/>
      <c r="AK68" s="34">
        <f>953459+1931530</f>
        <v>2884989</v>
      </c>
      <c r="AL68" s="34"/>
      <c r="AM68" s="34">
        <f>345214+39276</f>
        <v>384490</v>
      </c>
      <c r="AN68" s="34"/>
      <c r="AO68" s="34">
        <v>0</v>
      </c>
      <c r="AP68" s="34"/>
      <c r="AQ68" s="38">
        <f t="shared" si="5"/>
        <v>11601473</v>
      </c>
      <c r="AR68" s="38"/>
      <c r="AS68" s="106" t="s">
        <v>163</v>
      </c>
      <c r="AT68" s="34"/>
      <c r="AU68" s="106" t="s">
        <v>163</v>
      </c>
      <c r="AV68" s="34"/>
      <c r="AW68" s="34">
        <f t="shared" si="6"/>
        <v>93231348</v>
      </c>
      <c r="AX68" s="34"/>
      <c r="AY68" s="78" t="s">
        <v>60</v>
      </c>
      <c r="AZ68" s="34"/>
      <c r="BA68" s="34">
        <f>26210000</f>
        <v>26210000</v>
      </c>
      <c r="BB68" s="34"/>
      <c r="BC68" s="34">
        <f>11745033+41130000</f>
        <v>52875033</v>
      </c>
      <c r="BD68" s="34"/>
      <c r="BE68" s="34">
        <f>55712622+1144000</f>
        <v>56856622</v>
      </c>
      <c r="BF68" s="34"/>
      <c r="BG68" s="34">
        <f>1500+217317+213686+3781+668113+249768+663919</f>
        <v>2018084</v>
      </c>
      <c r="BH68" s="34"/>
      <c r="BI68" s="34"/>
      <c r="BJ68" s="34"/>
      <c r="BK68" s="34">
        <f t="shared" si="1"/>
        <v>137959739</v>
      </c>
      <c r="BL68" s="8"/>
    </row>
    <row r="69" spans="1:64" ht="11.25" customHeight="1" hidden="1">
      <c r="A69" s="28" t="s">
        <v>61</v>
      </c>
      <c r="C69" s="37">
        <f t="shared" si="2"/>
        <v>0</v>
      </c>
      <c r="D69" s="37"/>
      <c r="E69" s="37">
        <v>0</v>
      </c>
      <c r="F69" s="37"/>
      <c r="G69" s="37">
        <v>0</v>
      </c>
      <c r="H69" s="37"/>
      <c r="I69" s="96">
        <f t="shared" si="7"/>
        <v>0</v>
      </c>
      <c r="J69" s="96"/>
      <c r="K69" s="96">
        <f t="shared" si="8"/>
        <v>0</v>
      </c>
      <c r="L69" s="37"/>
      <c r="M69" s="37"/>
      <c r="N69" s="37"/>
      <c r="O69" s="37"/>
      <c r="P69" s="37"/>
      <c r="Q69" s="37"/>
      <c r="R69" s="37"/>
      <c r="S69" s="37"/>
      <c r="T69" s="37"/>
      <c r="U69" s="37">
        <f t="shared" si="3"/>
        <v>0</v>
      </c>
      <c r="V69" s="37"/>
      <c r="W69" s="37">
        <f t="shared" si="0"/>
        <v>0</v>
      </c>
      <c r="X69" s="37"/>
      <c r="Y69" s="78" t="s">
        <v>61</v>
      </c>
      <c r="Z69" s="37"/>
      <c r="AA69" s="34"/>
      <c r="AB69" s="34"/>
      <c r="AC69" s="34"/>
      <c r="AD69" s="34"/>
      <c r="AE69" s="34"/>
      <c r="AF69" s="34"/>
      <c r="AG69" s="37" t="s">
        <v>165</v>
      </c>
      <c r="AH69" s="37"/>
      <c r="AI69" s="37" t="s">
        <v>165</v>
      </c>
      <c r="AJ69" s="37"/>
      <c r="AK69" s="37" t="s">
        <v>165</v>
      </c>
      <c r="AL69" s="37"/>
      <c r="AM69" s="37" t="s">
        <v>165</v>
      </c>
      <c r="AN69" s="37"/>
      <c r="AO69" s="37" t="s">
        <v>165</v>
      </c>
      <c r="AP69" s="37"/>
      <c r="AQ69" s="37" t="s">
        <v>165</v>
      </c>
      <c r="AR69" s="37"/>
      <c r="AS69" s="106" t="s">
        <v>163</v>
      </c>
      <c r="AT69" s="37"/>
      <c r="AU69" s="106" t="s">
        <v>163</v>
      </c>
      <c r="AV69" s="37"/>
      <c r="AW69" s="37" t="s">
        <v>165</v>
      </c>
      <c r="AX69" s="37"/>
      <c r="AY69" s="78" t="s">
        <v>61</v>
      </c>
      <c r="AZ69" s="37"/>
      <c r="BA69" s="37" t="s">
        <v>165</v>
      </c>
      <c r="BB69" s="37"/>
      <c r="BC69" s="37" t="s">
        <v>165</v>
      </c>
      <c r="BD69" s="37"/>
      <c r="BE69" s="37" t="s">
        <v>165</v>
      </c>
      <c r="BF69" s="37"/>
      <c r="BG69" s="37" t="s">
        <v>165</v>
      </c>
      <c r="BH69" s="37"/>
      <c r="BI69" s="37"/>
      <c r="BJ69" s="37"/>
      <c r="BK69" s="34">
        <f t="shared" si="1"/>
        <v>0</v>
      </c>
      <c r="BL69" s="8"/>
    </row>
    <row r="70" spans="1:64" ht="12">
      <c r="A70" s="28" t="s">
        <v>100</v>
      </c>
      <c r="C70" s="37">
        <f t="shared" si="2"/>
        <v>96749</v>
      </c>
      <c r="D70" s="37"/>
      <c r="E70" s="37">
        <v>230735</v>
      </c>
      <c r="F70" s="37"/>
      <c r="G70" s="37">
        <v>327484</v>
      </c>
      <c r="H70" s="37"/>
      <c r="I70" s="108" t="s">
        <v>163</v>
      </c>
      <c r="J70" s="108"/>
      <c r="K70" s="108" t="s">
        <v>163</v>
      </c>
      <c r="L70" s="37"/>
      <c r="M70" s="108" t="s">
        <v>163</v>
      </c>
      <c r="N70" s="37"/>
      <c r="O70" s="37">
        <v>0</v>
      </c>
      <c r="P70" s="37"/>
      <c r="Q70" s="37">
        <v>0</v>
      </c>
      <c r="R70" s="37"/>
      <c r="S70" s="37">
        <v>327484</v>
      </c>
      <c r="T70" s="37"/>
      <c r="U70" s="37">
        <f t="shared" si="3"/>
        <v>327484</v>
      </c>
      <c r="V70" s="37"/>
      <c r="W70" s="37" t="e">
        <f t="shared" si="0"/>
        <v>#VALUE!</v>
      </c>
      <c r="X70" s="37"/>
      <c r="Y70" s="78" t="s">
        <v>100</v>
      </c>
      <c r="Z70" s="37"/>
      <c r="AA70" s="34">
        <v>33700</v>
      </c>
      <c r="AB70" s="34"/>
      <c r="AC70" s="34">
        <v>34127</v>
      </c>
      <c r="AD70" s="34"/>
      <c r="AE70" s="34">
        <v>5127</v>
      </c>
      <c r="AF70" s="34"/>
      <c r="AG70" s="38">
        <f t="shared" si="4"/>
        <v>-5554</v>
      </c>
      <c r="AH70" s="38"/>
      <c r="AI70" s="38">
        <v>0</v>
      </c>
      <c r="AJ70" s="38"/>
      <c r="AK70" s="34">
        <v>0</v>
      </c>
      <c r="AL70" s="34"/>
      <c r="AM70" s="34">
        <v>0</v>
      </c>
      <c r="AN70" s="34"/>
      <c r="AO70" s="34">
        <v>198707</v>
      </c>
      <c r="AP70" s="34"/>
      <c r="AQ70" s="38">
        <f t="shared" si="5"/>
        <v>193153</v>
      </c>
      <c r="AR70" s="38"/>
      <c r="AS70" s="106" t="s">
        <v>163</v>
      </c>
      <c r="AT70" s="34"/>
      <c r="AU70" s="106" t="s">
        <v>163</v>
      </c>
      <c r="AV70" s="34"/>
      <c r="AW70" s="106" t="s">
        <v>163</v>
      </c>
      <c r="AX70" s="34"/>
      <c r="AY70" s="78" t="s">
        <v>100</v>
      </c>
      <c r="AZ70" s="34"/>
      <c r="BA70" s="34">
        <v>0</v>
      </c>
      <c r="BB70" s="34"/>
      <c r="BC70" s="34">
        <v>0</v>
      </c>
      <c r="BD70" s="34"/>
      <c r="BE70" s="34">
        <v>0</v>
      </c>
      <c r="BF70" s="34"/>
      <c r="BG70" s="34">
        <v>0</v>
      </c>
      <c r="BH70" s="34"/>
      <c r="BI70" s="34"/>
      <c r="BJ70" s="34"/>
      <c r="BK70" s="34">
        <f t="shared" si="1"/>
        <v>0</v>
      </c>
      <c r="BL70" s="45"/>
    </row>
    <row r="71" spans="1:64" ht="12">
      <c r="A71" s="28" t="s">
        <v>63</v>
      </c>
      <c r="C71" s="37">
        <f t="shared" si="2"/>
        <v>3898093</v>
      </c>
      <c r="D71" s="37"/>
      <c r="E71" s="37">
        <v>24341940</v>
      </c>
      <c r="F71" s="37"/>
      <c r="G71" s="37">
        <v>28240033</v>
      </c>
      <c r="H71" s="37"/>
      <c r="I71" s="96">
        <f t="shared" si="7"/>
        <v>215160</v>
      </c>
      <c r="J71" s="96"/>
      <c r="K71" s="96">
        <f t="shared" si="8"/>
        <v>5283672</v>
      </c>
      <c r="L71" s="37"/>
      <c r="M71" s="37">
        <v>5498832</v>
      </c>
      <c r="N71" s="37"/>
      <c r="O71" s="37">
        <v>0</v>
      </c>
      <c r="P71" s="37"/>
      <c r="Q71" s="37">
        <v>0</v>
      </c>
      <c r="R71" s="37"/>
      <c r="S71" s="37">
        <v>22741201</v>
      </c>
      <c r="T71" s="37"/>
      <c r="U71" s="37">
        <f t="shared" si="3"/>
        <v>22741201</v>
      </c>
      <c r="V71" s="37"/>
      <c r="W71" s="37">
        <f t="shared" si="0"/>
        <v>0</v>
      </c>
      <c r="X71" s="37"/>
      <c r="Y71" s="78" t="s">
        <v>63</v>
      </c>
      <c r="Z71" s="37"/>
      <c r="AA71" s="34">
        <v>2261916</v>
      </c>
      <c r="AB71" s="34"/>
      <c r="AC71" s="34">
        <v>1829783</v>
      </c>
      <c r="AD71" s="34"/>
      <c r="AE71" s="34">
        <v>758830</v>
      </c>
      <c r="AF71" s="34"/>
      <c r="AG71" s="38">
        <f t="shared" si="4"/>
        <v>-326697</v>
      </c>
      <c r="AH71" s="38"/>
      <c r="AI71" s="38">
        <v>513054</v>
      </c>
      <c r="AJ71" s="38"/>
      <c r="AK71" s="34">
        <v>636816</v>
      </c>
      <c r="AL71" s="34"/>
      <c r="AM71" s="34">
        <v>37995</v>
      </c>
      <c r="AN71" s="34"/>
      <c r="AO71" s="34">
        <v>0</v>
      </c>
      <c r="AP71" s="34"/>
      <c r="AQ71" s="38">
        <f t="shared" si="5"/>
        <v>785178</v>
      </c>
      <c r="AR71" s="38"/>
      <c r="AS71" s="34">
        <v>627340</v>
      </c>
      <c r="AT71" s="34"/>
      <c r="AU71" s="106" t="s">
        <v>163</v>
      </c>
      <c r="AV71" s="34"/>
      <c r="AW71" s="34">
        <f>+C71-I71</f>
        <v>3682933</v>
      </c>
      <c r="AX71" s="34"/>
      <c r="AY71" s="78" t="s">
        <v>63</v>
      </c>
      <c r="AZ71" s="34"/>
      <c r="BA71" s="34">
        <f>2780965-28901</f>
        <v>2752064</v>
      </c>
      <c r="BB71" s="34"/>
      <c r="BC71" s="34">
        <v>2206500</v>
      </c>
      <c r="BD71" s="34"/>
      <c r="BE71" s="34">
        <v>325108</v>
      </c>
      <c r="BF71" s="34"/>
      <c r="BG71" s="34">
        <v>0</v>
      </c>
      <c r="BH71" s="34"/>
      <c r="BI71" s="34"/>
      <c r="BJ71" s="34"/>
      <c r="BK71" s="34">
        <f t="shared" si="1"/>
        <v>5283672</v>
      </c>
      <c r="BL71" s="8"/>
    </row>
    <row r="72" spans="1:64" ht="11.25" customHeight="1" hidden="1">
      <c r="A72" s="28" t="s">
        <v>64</v>
      </c>
      <c r="C72" s="37"/>
      <c r="D72" s="37"/>
      <c r="E72" s="37"/>
      <c r="F72" s="37"/>
      <c r="G72" s="37"/>
      <c r="H72" s="37"/>
      <c r="I72" s="96"/>
      <c r="J72" s="96"/>
      <c r="K72" s="9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>
        <f t="shared" si="0"/>
        <v>0</v>
      </c>
      <c r="X72" s="37"/>
      <c r="Y72" s="78" t="s">
        <v>64</v>
      </c>
      <c r="Z72" s="37"/>
      <c r="AA72" s="37" t="s">
        <v>165</v>
      </c>
      <c r="AB72" s="37"/>
      <c r="AC72" s="37" t="s">
        <v>165</v>
      </c>
      <c r="AD72" s="37"/>
      <c r="AE72" s="37" t="s">
        <v>165</v>
      </c>
      <c r="AF72" s="37"/>
      <c r="AG72" s="37" t="s">
        <v>165</v>
      </c>
      <c r="AH72" s="37"/>
      <c r="AI72" s="37" t="s">
        <v>165</v>
      </c>
      <c r="AJ72" s="37"/>
      <c r="AK72" s="37" t="s">
        <v>165</v>
      </c>
      <c r="AL72" s="37"/>
      <c r="AM72" s="37" t="s">
        <v>165</v>
      </c>
      <c r="AN72" s="37"/>
      <c r="AO72" s="37" t="s">
        <v>165</v>
      </c>
      <c r="AP72" s="37"/>
      <c r="AQ72" s="37" t="s">
        <v>165</v>
      </c>
      <c r="AR72" s="37"/>
      <c r="AS72" s="37" t="s">
        <v>165</v>
      </c>
      <c r="AT72" s="37"/>
      <c r="AU72" s="37" t="s">
        <v>165</v>
      </c>
      <c r="AV72" s="37"/>
      <c r="AW72" s="37" t="s">
        <v>165</v>
      </c>
      <c r="AX72" s="37"/>
      <c r="AY72" s="78" t="s">
        <v>64</v>
      </c>
      <c r="AZ72" s="37"/>
      <c r="BA72" s="37" t="s">
        <v>165</v>
      </c>
      <c r="BB72" s="37"/>
      <c r="BC72" s="37" t="s">
        <v>165</v>
      </c>
      <c r="BD72" s="37"/>
      <c r="BE72" s="37" t="s">
        <v>165</v>
      </c>
      <c r="BF72" s="37"/>
      <c r="BG72" s="37" t="s">
        <v>165</v>
      </c>
      <c r="BH72" s="37"/>
      <c r="BI72" s="37"/>
      <c r="BJ72" s="37"/>
      <c r="BK72" s="34">
        <f t="shared" si="1"/>
        <v>0</v>
      </c>
      <c r="BL72" s="8"/>
    </row>
    <row r="73" spans="1:64" ht="12">
      <c r="A73" s="28" t="s">
        <v>65</v>
      </c>
      <c r="C73" s="37">
        <f t="shared" si="2"/>
        <v>3617306</v>
      </c>
      <c r="D73" s="37"/>
      <c r="E73" s="37">
        <v>59285216</v>
      </c>
      <c r="F73" s="37"/>
      <c r="G73" s="37">
        <v>62902522</v>
      </c>
      <c r="H73" s="37"/>
      <c r="I73" s="96">
        <f t="shared" si="7"/>
        <v>1887299</v>
      </c>
      <c r="J73" s="96"/>
      <c r="K73" s="96">
        <f t="shared" si="8"/>
        <v>13195135</v>
      </c>
      <c r="L73" s="37"/>
      <c r="M73" s="37">
        <v>15082434</v>
      </c>
      <c r="N73" s="37"/>
      <c r="O73" s="37">
        <v>0</v>
      </c>
      <c r="P73" s="37"/>
      <c r="Q73" s="37">
        <v>0</v>
      </c>
      <c r="R73" s="37"/>
      <c r="S73" s="37">
        <v>47820088</v>
      </c>
      <c r="T73" s="37"/>
      <c r="U73" s="37">
        <f t="shared" si="3"/>
        <v>47820088</v>
      </c>
      <c r="V73" s="37"/>
      <c r="W73" s="37">
        <f t="shared" si="0"/>
        <v>0</v>
      </c>
      <c r="X73" s="37"/>
      <c r="Y73" s="78" t="s">
        <v>65</v>
      </c>
      <c r="Z73" s="37"/>
      <c r="AA73" s="34">
        <f>2161107+1777393+996+5300</f>
        <v>3944796</v>
      </c>
      <c r="AB73" s="34"/>
      <c r="AC73" s="34">
        <v>2405388</v>
      </c>
      <c r="AD73" s="34"/>
      <c r="AE73" s="34">
        <f>883109+364778+88733</f>
        <v>1336620</v>
      </c>
      <c r="AF73" s="34"/>
      <c r="AG73" s="38">
        <f t="shared" si="4"/>
        <v>202788</v>
      </c>
      <c r="AH73" s="38"/>
      <c r="AI73" s="38">
        <f>252196+21529</f>
        <v>273725</v>
      </c>
      <c r="AJ73" s="38"/>
      <c r="AK73" s="34">
        <f>55935+62855+700+4036</f>
        <v>123526</v>
      </c>
      <c r="AL73" s="34"/>
      <c r="AM73" s="34">
        <f>29737+23526</f>
        <v>53263</v>
      </c>
      <c r="AN73" s="34"/>
      <c r="AO73" s="34">
        <v>0</v>
      </c>
      <c r="AP73" s="34"/>
      <c r="AQ73" s="38">
        <f t="shared" si="5"/>
        <v>546776</v>
      </c>
      <c r="AR73" s="38"/>
      <c r="AS73" s="34">
        <f>29360+285673</f>
        <v>315033</v>
      </c>
      <c r="AT73" s="34"/>
      <c r="AU73" s="34">
        <f>-11543</f>
        <v>-11543</v>
      </c>
      <c r="AV73" s="34"/>
      <c r="AW73" s="34">
        <f t="shared" si="6"/>
        <v>1730007</v>
      </c>
      <c r="AX73" s="34"/>
      <c r="AY73" s="78" t="s">
        <v>65</v>
      </c>
      <c r="AZ73" s="34"/>
      <c r="BA73" s="34">
        <f>294000+4770856</f>
        <v>5064856</v>
      </c>
      <c r="BB73" s="34"/>
      <c r="BC73" s="34">
        <f>3776625+2680000</f>
        <v>6456625</v>
      </c>
      <c r="BD73" s="34"/>
      <c r="BE73" s="34">
        <f>107284+12676+17852+947658+398325+108445</f>
        <v>1592240</v>
      </c>
      <c r="BF73" s="34"/>
      <c r="BG73" s="34">
        <f>39362+41988+64</f>
        <v>81414</v>
      </c>
      <c r="BH73" s="34"/>
      <c r="BI73" s="34"/>
      <c r="BJ73" s="34"/>
      <c r="BK73" s="34">
        <f t="shared" si="1"/>
        <v>13195135</v>
      </c>
      <c r="BL73" s="8"/>
    </row>
    <row r="74" spans="1:64" ht="11.25" customHeight="1" hidden="1">
      <c r="A74" s="28" t="s">
        <v>134</v>
      </c>
      <c r="C74" s="37"/>
      <c r="D74" s="37"/>
      <c r="E74" s="37"/>
      <c r="F74" s="37"/>
      <c r="G74" s="37"/>
      <c r="H74" s="37"/>
      <c r="I74" s="96"/>
      <c r="J74" s="96"/>
      <c r="K74" s="96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>
        <f t="shared" si="0"/>
        <v>0</v>
      </c>
      <c r="X74" s="37"/>
      <c r="Y74" s="78" t="s">
        <v>134</v>
      </c>
      <c r="Z74" s="37"/>
      <c r="AA74" s="37" t="s">
        <v>165</v>
      </c>
      <c r="AB74" s="37"/>
      <c r="AC74" s="37" t="s">
        <v>165</v>
      </c>
      <c r="AD74" s="37"/>
      <c r="AE74" s="37" t="s">
        <v>165</v>
      </c>
      <c r="AF74" s="37"/>
      <c r="AG74" s="37" t="s">
        <v>165</v>
      </c>
      <c r="AH74" s="37"/>
      <c r="AI74" s="37" t="s">
        <v>165</v>
      </c>
      <c r="AJ74" s="37"/>
      <c r="AK74" s="37" t="s">
        <v>165</v>
      </c>
      <c r="AL74" s="37"/>
      <c r="AM74" s="37" t="s">
        <v>165</v>
      </c>
      <c r="AN74" s="37"/>
      <c r="AO74" s="37" t="s">
        <v>165</v>
      </c>
      <c r="AP74" s="37"/>
      <c r="AQ74" s="37" t="s">
        <v>165</v>
      </c>
      <c r="AR74" s="37"/>
      <c r="AS74" s="37" t="s">
        <v>165</v>
      </c>
      <c r="AT74" s="37"/>
      <c r="AU74" s="37" t="s">
        <v>165</v>
      </c>
      <c r="AV74" s="37"/>
      <c r="AW74" s="37" t="s">
        <v>165</v>
      </c>
      <c r="AX74" s="37"/>
      <c r="AY74" s="78" t="s">
        <v>134</v>
      </c>
      <c r="AZ74" s="37"/>
      <c r="BA74" s="37" t="s">
        <v>165</v>
      </c>
      <c r="BB74" s="37"/>
      <c r="BC74" s="37" t="s">
        <v>165</v>
      </c>
      <c r="BD74" s="37"/>
      <c r="BE74" s="37" t="s">
        <v>165</v>
      </c>
      <c r="BF74" s="37"/>
      <c r="BG74" s="37" t="s">
        <v>165</v>
      </c>
      <c r="BH74" s="37"/>
      <c r="BI74" s="37"/>
      <c r="BJ74" s="37"/>
      <c r="BK74" s="34">
        <f t="shared" si="1"/>
        <v>0</v>
      </c>
      <c r="BL74" s="8"/>
    </row>
    <row r="75" spans="1:64" ht="11.25" customHeight="1" hidden="1">
      <c r="A75" s="28" t="s">
        <v>66</v>
      </c>
      <c r="C75" s="37"/>
      <c r="D75" s="37"/>
      <c r="E75" s="37"/>
      <c r="F75" s="37"/>
      <c r="G75" s="37"/>
      <c r="H75" s="37"/>
      <c r="I75" s="96"/>
      <c r="J75" s="96"/>
      <c r="K75" s="9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>
        <f t="shared" si="0"/>
        <v>0</v>
      </c>
      <c r="X75" s="37"/>
      <c r="Y75" s="78" t="s">
        <v>66</v>
      </c>
      <c r="Z75" s="37"/>
      <c r="AA75" s="37" t="s">
        <v>165</v>
      </c>
      <c r="AB75" s="37"/>
      <c r="AC75" s="37" t="s">
        <v>165</v>
      </c>
      <c r="AD75" s="37"/>
      <c r="AE75" s="37" t="s">
        <v>165</v>
      </c>
      <c r="AF75" s="37"/>
      <c r="AG75" s="37" t="s">
        <v>165</v>
      </c>
      <c r="AH75" s="37"/>
      <c r="AI75" s="37" t="s">
        <v>165</v>
      </c>
      <c r="AJ75" s="37"/>
      <c r="AK75" s="37" t="s">
        <v>165</v>
      </c>
      <c r="AL75" s="37"/>
      <c r="AM75" s="37" t="s">
        <v>165</v>
      </c>
      <c r="AN75" s="37"/>
      <c r="AO75" s="37" t="s">
        <v>165</v>
      </c>
      <c r="AP75" s="37"/>
      <c r="AQ75" s="37" t="s">
        <v>165</v>
      </c>
      <c r="AR75" s="37"/>
      <c r="AS75" s="37" t="s">
        <v>165</v>
      </c>
      <c r="AT75" s="37"/>
      <c r="AU75" s="37" t="s">
        <v>165</v>
      </c>
      <c r="AV75" s="37"/>
      <c r="AW75" s="37" t="s">
        <v>165</v>
      </c>
      <c r="AX75" s="37"/>
      <c r="AY75" s="78" t="s">
        <v>66</v>
      </c>
      <c r="AZ75" s="37"/>
      <c r="BA75" s="37" t="s">
        <v>165</v>
      </c>
      <c r="BB75" s="37"/>
      <c r="BC75" s="37" t="s">
        <v>165</v>
      </c>
      <c r="BD75" s="37"/>
      <c r="BE75" s="37" t="s">
        <v>165</v>
      </c>
      <c r="BF75" s="37"/>
      <c r="BG75" s="37" t="s">
        <v>165</v>
      </c>
      <c r="BH75" s="37"/>
      <c r="BI75" s="37"/>
      <c r="BJ75" s="37"/>
      <c r="BK75" s="34">
        <f t="shared" si="1"/>
        <v>0</v>
      </c>
      <c r="BL75" s="8"/>
    </row>
    <row r="76" spans="1:64" ht="12">
      <c r="A76" s="28" t="s">
        <v>67</v>
      </c>
      <c r="C76" s="37">
        <f t="shared" si="2"/>
        <v>155721</v>
      </c>
      <c r="D76" s="37"/>
      <c r="E76" s="37">
        <v>79813</v>
      </c>
      <c r="F76" s="37"/>
      <c r="G76" s="37">
        <v>235534</v>
      </c>
      <c r="H76" s="37"/>
      <c r="I76" s="96">
        <f t="shared" si="7"/>
        <v>49758</v>
      </c>
      <c r="J76" s="96"/>
      <c r="K76" s="96">
        <f t="shared" si="8"/>
        <v>0</v>
      </c>
      <c r="L76" s="37"/>
      <c r="M76" s="37">
        <v>49758</v>
      </c>
      <c r="N76" s="37"/>
      <c r="O76" s="37">
        <v>49813</v>
      </c>
      <c r="P76" s="37"/>
      <c r="Q76" s="37">
        <v>0</v>
      </c>
      <c r="R76" s="37"/>
      <c r="S76" s="37">
        <v>135963</v>
      </c>
      <c r="T76" s="37"/>
      <c r="U76" s="37">
        <f t="shared" si="3"/>
        <v>185776</v>
      </c>
      <c r="V76" s="37"/>
      <c r="W76" s="37">
        <f t="shared" si="0"/>
        <v>0</v>
      </c>
      <c r="X76" s="37"/>
      <c r="Y76" s="78" t="s">
        <v>67</v>
      </c>
      <c r="Z76" s="37"/>
      <c r="AA76" s="34">
        <v>116836</v>
      </c>
      <c r="AB76" s="34"/>
      <c r="AC76" s="34">
        <f>131545-9409</f>
        <v>122136</v>
      </c>
      <c r="AD76" s="34"/>
      <c r="AE76" s="34">
        <v>9409</v>
      </c>
      <c r="AF76" s="34"/>
      <c r="AG76" s="38">
        <f t="shared" si="4"/>
        <v>-14709</v>
      </c>
      <c r="AH76" s="38"/>
      <c r="AI76" s="38">
        <v>14090</v>
      </c>
      <c r="AJ76" s="38"/>
      <c r="AK76" s="34">
        <v>0</v>
      </c>
      <c r="AL76" s="34"/>
      <c r="AM76" s="34">
        <v>0</v>
      </c>
      <c r="AN76" s="34"/>
      <c r="AO76" s="34">
        <v>0</v>
      </c>
      <c r="AP76" s="34"/>
      <c r="AQ76" s="38">
        <f t="shared" si="5"/>
        <v>-619</v>
      </c>
      <c r="AR76" s="38"/>
      <c r="AS76" s="106" t="s">
        <v>163</v>
      </c>
      <c r="AT76" s="34"/>
      <c r="AU76" s="106" t="s">
        <v>163</v>
      </c>
      <c r="AV76" s="34"/>
      <c r="AW76" s="34">
        <f t="shared" si="6"/>
        <v>105963</v>
      </c>
      <c r="AX76" s="34"/>
      <c r="AY76" s="78" t="s">
        <v>67</v>
      </c>
      <c r="AZ76" s="34"/>
      <c r="BA76" s="34">
        <v>0</v>
      </c>
      <c r="BB76" s="34"/>
      <c r="BC76" s="34">
        <v>0</v>
      </c>
      <c r="BD76" s="34"/>
      <c r="BE76" s="34">
        <v>0</v>
      </c>
      <c r="BF76" s="34"/>
      <c r="BG76" s="34">
        <v>0</v>
      </c>
      <c r="BH76" s="34"/>
      <c r="BI76" s="34"/>
      <c r="BJ76" s="34"/>
      <c r="BK76" s="34">
        <f t="shared" si="1"/>
        <v>0</v>
      </c>
      <c r="BL76" s="8"/>
    </row>
    <row r="77" spans="1:64" ht="12">
      <c r="A77" s="28" t="s">
        <v>68</v>
      </c>
      <c r="C77" s="37">
        <f t="shared" si="2"/>
        <v>170822</v>
      </c>
      <c r="D77" s="37"/>
      <c r="E77" s="37">
        <v>2806525</v>
      </c>
      <c r="F77" s="37"/>
      <c r="G77" s="37">
        <v>2977347</v>
      </c>
      <c r="H77" s="37"/>
      <c r="I77" s="96">
        <f t="shared" si="7"/>
        <v>54671</v>
      </c>
      <c r="J77" s="96"/>
      <c r="K77" s="96">
        <f t="shared" si="8"/>
        <v>211000</v>
      </c>
      <c r="L77" s="37"/>
      <c r="M77" s="37">
        <v>265671</v>
      </c>
      <c r="N77" s="37"/>
      <c r="O77" s="37">
        <v>0</v>
      </c>
      <c r="P77" s="37"/>
      <c r="Q77" s="37">
        <v>0</v>
      </c>
      <c r="R77" s="37"/>
      <c r="S77" s="37">
        <v>2711676</v>
      </c>
      <c r="T77" s="37"/>
      <c r="U77" s="37">
        <f t="shared" si="3"/>
        <v>2711676</v>
      </c>
      <c r="V77" s="37"/>
      <c r="W77" s="37">
        <f t="shared" si="0"/>
        <v>0</v>
      </c>
      <c r="X77" s="37"/>
      <c r="Y77" s="78" t="s">
        <v>68</v>
      </c>
      <c r="Z77" s="37"/>
      <c r="AA77" s="34">
        <v>367916</v>
      </c>
      <c r="AB77" s="34"/>
      <c r="AC77" s="34">
        <v>321522</v>
      </c>
      <c r="AD77" s="34"/>
      <c r="AE77" s="34">
        <v>81147</v>
      </c>
      <c r="AF77" s="34"/>
      <c r="AG77" s="38">
        <f t="shared" si="4"/>
        <v>-34753</v>
      </c>
      <c r="AH77" s="38"/>
      <c r="AI77" s="38">
        <v>-3719</v>
      </c>
      <c r="AJ77" s="38"/>
      <c r="AK77" s="34">
        <v>17500</v>
      </c>
      <c r="AL77" s="34"/>
      <c r="AM77" s="34">
        <v>0</v>
      </c>
      <c r="AN77" s="34"/>
      <c r="AO77" s="34">
        <v>0</v>
      </c>
      <c r="AP77" s="34"/>
      <c r="AQ77" s="38">
        <f t="shared" si="5"/>
        <v>-20972</v>
      </c>
      <c r="AR77" s="38"/>
      <c r="AS77" s="106" t="s">
        <v>163</v>
      </c>
      <c r="AT77" s="34"/>
      <c r="AU77" s="106" t="s">
        <v>163</v>
      </c>
      <c r="AV77" s="34"/>
      <c r="AW77" s="34">
        <f t="shared" si="6"/>
        <v>116151</v>
      </c>
      <c r="AX77" s="34"/>
      <c r="AY77" s="78" t="s">
        <v>68</v>
      </c>
      <c r="AZ77" s="34"/>
      <c r="BA77" s="34">
        <v>0</v>
      </c>
      <c r="BB77" s="34"/>
      <c r="BC77" s="34">
        <v>0</v>
      </c>
      <c r="BD77" s="34"/>
      <c r="BE77" s="34">
        <v>0</v>
      </c>
      <c r="BF77" s="34"/>
      <c r="BG77" s="34">
        <v>211000</v>
      </c>
      <c r="BH77" s="34"/>
      <c r="BI77" s="34"/>
      <c r="BJ77" s="34"/>
      <c r="BK77" s="34">
        <f t="shared" si="1"/>
        <v>211000</v>
      </c>
      <c r="BL77" s="8"/>
    </row>
    <row r="78" spans="1:64" ht="12">
      <c r="A78" s="28" t="s">
        <v>69</v>
      </c>
      <c r="C78" s="37">
        <f t="shared" si="2"/>
        <v>10340340</v>
      </c>
      <c r="D78" s="37"/>
      <c r="E78" s="37">
        <f>31819572+21806678</f>
        <v>53626250</v>
      </c>
      <c r="F78" s="37"/>
      <c r="G78" s="37">
        <f>36949764+27016826</f>
        <v>63966590</v>
      </c>
      <c r="H78" s="37"/>
      <c r="I78" s="96">
        <f t="shared" si="7"/>
        <v>3185086</v>
      </c>
      <c r="J78" s="96"/>
      <c r="K78" s="96">
        <f t="shared" si="8"/>
        <v>18087996</v>
      </c>
      <c r="L78" s="37"/>
      <c r="M78" s="37">
        <f>10067128+11205954</f>
        <v>21273082</v>
      </c>
      <c r="N78" s="37"/>
      <c r="O78" s="37">
        <f>22237143+10628866</f>
        <v>32866009</v>
      </c>
      <c r="P78" s="37"/>
      <c r="Q78" s="37">
        <v>0</v>
      </c>
      <c r="R78" s="37"/>
      <c r="S78" s="37">
        <f>4645493+5182006</f>
        <v>9827499</v>
      </c>
      <c r="T78" s="37"/>
      <c r="U78" s="37">
        <f t="shared" si="3"/>
        <v>42693508</v>
      </c>
      <c r="V78" s="37"/>
      <c r="W78" s="37">
        <f t="shared" si="0"/>
        <v>0</v>
      </c>
      <c r="X78" s="37"/>
      <c r="Y78" s="78" t="s">
        <v>69</v>
      </c>
      <c r="Z78" s="37"/>
      <c r="AA78" s="34">
        <f>4532042+2806668</f>
        <v>7338710</v>
      </c>
      <c r="AB78" s="34"/>
      <c r="AC78" s="34">
        <f>1561271+743883-904854-566528</f>
        <v>833772</v>
      </c>
      <c r="AD78" s="34"/>
      <c r="AE78" s="34">
        <f>904854+566528</f>
        <v>1471382</v>
      </c>
      <c r="AF78" s="34"/>
      <c r="AG78" s="38">
        <f t="shared" si="4"/>
        <v>5033556</v>
      </c>
      <c r="AH78" s="38"/>
      <c r="AI78" s="38">
        <f>193467-395338</f>
        <v>-201871</v>
      </c>
      <c r="AJ78" s="38"/>
      <c r="AK78" s="34">
        <v>0</v>
      </c>
      <c r="AL78" s="34"/>
      <c r="AM78" s="34">
        <v>52725</v>
      </c>
      <c r="AN78" s="34"/>
      <c r="AO78" s="34">
        <v>0</v>
      </c>
      <c r="AP78" s="34"/>
      <c r="AQ78" s="38">
        <f t="shared" si="5"/>
        <v>4778960</v>
      </c>
      <c r="AR78" s="38"/>
      <c r="AS78" s="106" t="s">
        <v>163</v>
      </c>
      <c r="AT78" s="34"/>
      <c r="AU78" s="106" t="s">
        <v>163</v>
      </c>
      <c r="AV78" s="34"/>
      <c r="AW78" s="34">
        <f t="shared" si="6"/>
        <v>7155254</v>
      </c>
      <c r="AX78" s="34"/>
      <c r="AY78" s="78" t="s">
        <v>69</v>
      </c>
      <c r="AZ78" s="34"/>
      <c r="BA78" s="34">
        <v>0</v>
      </c>
      <c r="BB78" s="34"/>
      <c r="BC78" s="34">
        <v>0</v>
      </c>
      <c r="BD78" s="34"/>
      <c r="BE78" s="34">
        <f>488503+2999156+179111+9228337</f>
        <v>12895107</v>
      </c>
      <c r="BF78" s="34"/>
      <c r="BG78" s="34">
        <f>52756+72909+4252311+814913</f>
        <v>5192889</v>
      </c>
      <c r="BH78" s="34"/>
      <c r="BI78" s="34"/>
      <c r="BJ78" s="34"/>
      <c r="BK78" s="34">
        <f t="shared" si="1"/>
        <v>18087996</v>
      </c>
      <c r="BL78" s="8"/>
    </row>
    <row r="79" spans="1:64" ht="12">
      <c r="A79" s="28" t="s">
        <v>70</v>
      </c>
      <c r="C79" s="37">
        <f t="shared" si="2"/>
        <v>63372</v>
      </c>
      <c r="D79" s="37"/>
      <c r="E79" s="37">
        <v>8397</v>
      </c>
      <c r="F79" s="37"/>
      <c r="G79" s="37">
        <v>71769</v>
      </c>
      <c r="H79" s="37"/>
      <c r="I79" s="96">
        <f t="shared" si="7"/>
        <v>48396</v>
      </c>
      <c r="J79" s="96"/>
      <c r="K79" s="96">
        <f t="shared" si="8"/>
        <v>248964</v>
      </c>
      <c r="L79" s="37"/>
      <c r="M79" s="37">
        <v>297360</v>
      </c>
      <c r="N79" s="37"/>
      <c r="O79" s="37">
        <v>0</v>
      </c>
      <c r="P79" s="37"/>
      <c r="Q79" s="37">
        <v>0</v>
      </c>
      <c r="R79" s="37"/>
      <c r="S79" s="37">
        <v>-225591</v>
      </c>
      <c r="T79" s="37"/>
      <c r="U79" s="37">
        <f t="shared" si="3"/>
        <v>-225591</v>
      </c>
      <c r="V79" s="37"/>
      <c r="W79" s="37">
        <f t="shared" si="0"/>
        <v>0</v>
      </c>
      <c r="X79" s="37"/>
      <c r="Y79" s="78" t="s">
        <v>70</v>
      </c>
      <c r="Z79" s="37"/>
      <c r="AA79" s="34">
        <v>16967</v>
      </c>
      <c r="AB79" s="34"/>
      <c r="AC79" s="34">
        <f>23307-600</f>
        <v>22707</v>
      </c>
      <c r="AD79" s="34"/>
      <c r="AE79" s="34">
        <v>600</v>
      </c>
      <c r="AF79" s="34"/>
      <c r="AG79" s="38">
        <f t="shared" si="4"/>
        <v>-6340</v>
      </c>
      <c r="AH79" s="38"/>
      <c r="AI79" s="38">
        <v>0</v>
      </c>
      <c r="AJ79" s="38"/>
      <c r="AK79" s="34">
        <v>0</v>
      </c>
      <c r="AL79" s="34"/>
      <c r="AM79" s="34">
        <v>0</v>
      </c>
      <c r="AN79" s="34"/>
      <c r="AO79" s="34">
        <v>0</v>
      </c>
      <c r="AP79" s="34"/>
      <c r="AQ79" s="38">
        <f t="shared" si="5"/>
        <v>-6340</v>
      </c>
      <c r="AR79" s="38"/>
      <c r="AS79" s="106" t="s">
        <v>163</v>
      </c>
      <c r="AT79" s="34"/>
      <c r="AU79" s="106" t="s">
        <v>163</v>
      </c>
      <c r="AV79" s="34"/>
      <c r="AW79" s="34">
        <f t="shared" si="6"/>
        <v>14976</v>
      </c>
      <c r="AX79" s="34"/>
      <c r="AY79" s="78" t="s">
        <v>70</v>
      </c>
      <c r="AZ79" s="34"/>
      <c r="BA79" s="34">
        <v>0</v>
      </c>
      <c r="BB79" s="34"/>
      <c r="BC79" s="34">
        <v>0</v>
      </c>
      <c r="BD79" s="34"/>
      <c r="BE79" s="34">
        <f>55815+193086</f>
        <v>248901</v>
      </c>
      <c r="BF79" s="34"/>
      <c r="BG79" s="34">
        <f>63</f>
        <v>63</v>
      </c>
      <c r="BH79" s="34"/>
      <c r="BI79" s="34"/>
      <c r="BJ79" s="34"/>
      <c r="BK79" s="34">
        <f t="shared" si="1"/>
        <v>248964</v>
      </c>
      <c r="BL79" s="8"/>
    </row>
    <row r="80" spans="1:64" ht="11.25" customHeight="1" hidden="1">
      <c r="A80" s="28" t="s">
        <v>186</v>
      </c>
      <c r="C80" s="37"/>
      <c r="D80" s="37"/>
      <c r="E80" s="37"/>
      <c r="F80" s="37"/>
      <c r="G80" s="37"/>
      <c r="H80" s="37"/>
      <c r="I80" s="96"/>
      <c r="J80" s="96"/>
      <c r="K80" s="96"/>
      <c r="L80" s="37"/>
      <c r="M80" s="37"/>
      <c r="N80" s="37"/>
      <c r="O80" s="37"/>
      <c r="P80" s="37"/>
      <c r="Q80" s="37"/>
      <c r="R80" s="37"/>
      <c r="S80" s="37"/>
      <c r="T80" s="37"/>
      <c r="U80" s="37">
        <f t="shared" si="3"/>
        <v>0</v>
      </c>
      <c r="V80" s="37"/>
      <c r="W80" s="37">
        <f aca="true" t="shared" si="9" ref="W80:W99">+G80-M80-U80</f>
        <v>0</v>
      </c>
      <c r="X80" s="37"/>
      <c r="Y80" s="78" t="s">
        <v>186</v>
      </c>
      <c r="Z80" s="37"/>
      <c r="AA80" s="34"/>
      <c r="AB80" s="34"/>
      <c r="AC80" s="34"/>
      <c r="AD80" s="34"/>
      <c r="AE80" s="34"/>
      <c r="AF80" s="34"/>
      <c r="AG80" s="38">
        <f t="shared" si="4"/>
        <v>0</v>
      </c>
      <c r="AH80" s="38"/>
      <c r="AI80" s="37" t="s">
        <v>165</v>
      </c>
      <c r="AJ80" s="37"/>
      <c r="AK80" s="37" t="s">
        <v>165</v>
      </c>
      <c r="AL80" s="37"/>
      <c r="AM80" s="37" t="s">
        <v>165</v>
      </c>
      <c r="AN80" s="37"/>
      <c r="AO80" s="37" t="s">
        <v>165</v>
      </c>
      <c r="AP80" s="37"/>
      <c r="AQ80" s="37" t="s">
        <v>165</v>
      </c>
      <c r="AR80" s="37"/>
      <c r="AS80" s="106" t="s">
        <v>163</v>
      </c>
      <c r="AT80" s="37"/>
      <c r="AU80" s="106" t="s">
        <v>163</v>
      </c>
      <c r="AV80" s="37"/>
      <c r="AW80" s="37" t="s">
        <v>165</v>
      </c>
      <c r="AX80" s="37"/>
      <c r="AY80" s="78" t="s">
        <v>186</v>
      </c>
      <c r="AZ80" s="37"/>
      <c r="BA80" s="37" t="s">
        <v>165</v>
      </c>
      <c r="BB80" s="37"/>
      <c r="BC80" s="37" t="s">
        <v>165</v>
      </c>
      <c r="BD80" s="37"/>
      <c r="BE80" s="37" t="s">
        <v>165</v>
      </c>
      <c r="BF80" s="37"/>
      <c r="BG80" s="37" t="s">
        <v>165</v>
      </c>
      <c r="BH80" s="37"/>
      <c r="BI80" s="37"/>
      <c r="BJ80" s="37"/>
      <c r="BK80" s="34">
        <f aca="true" t="shared" si="10" ref="BK80:BK99">SUM(BA80:BI80)</f>
        <v>0</v>
      </c>
      <c r="BL80" s="8"/>
    </row>
    <row r="81" spans="1:64" ht="12">
      <c r="A81" s="28" t="s">
        <v>191</v>
      </c>
      <c r="C81" s="37">
        <f t="shared" si="2"/>
        <v>1910456</v>
      </c>
      <c r="D81" s="37"/>
      <c r="E81" s="37">
        <v>23312746</v>
      </c>
      <c r="F81" s="37"/>
      <c r="G81" s="37">
        <v>25223202</v>
      </c>
      <c r="H81" s="37"/>
      <c r="I81" s="96">
        <f t="shared" si="7"/>
        <v>237803</v>
      </c>
      <c r="J81" s="96"/>
      <c r="K81" s="96">
        <f t="shared" si="8"/>
        <v>21360</v>
      </c>
      <c r="L81" s="37"/>
      <c r="M81" s="37">
        <v>259163</v>
      </c>
      <c r="N81" s="37"/>
      <c r="O81" s="37">
        <v>23152476</v>
      </c>
      <c r="P81" s="37"/>
      <c r="Q81" s="37">
        <v>0</v>
      </c>
      <c r="R81" s="37"/>
      <c r="S81" s="37">
        <v>1811563</v>
      </c>
      <c r="T81" s="37"/>
      <c r="U81" s="37">
        <f t="shared" si="3"/>
        <v>24964039</v>
      </c>
      <c r="V81" s="37"/>
      <c r="W81" s="37">
        <f t="shared" si="9"/>
        <v>0</v>
      </c>
      <c r="X81" s="37"/>
      <c r="Y81" s="78" t="s">
        <v>191</v>
      </c>
      <c r="Z81" s="37"/>
      <c r="AA81" s="34">
        <v>1886784</v>
      </c>
      <c r="AB81" s="34"/>
      <c r="AC81" s="34">
        <f>1647325-1124047</f>
        <v>523278</v>
      </c>
      <c r="AD81" s="34"/>
      <c r="AE81" s="34">
        <v>1124047</v>
      </c>
      <c r="AF81" s="34"/>
      <c r="AG81" s="38">
        <f t="shared" si="4"/>
        <v>239459</v>
      </c>
      <c r="AH81" s="38"/>
      <c r="AI81" s="38">
        <v>34863</v>
      </c>
      <c r="AJ81" s="38"/>
      <c r="AK81" s="34">
        <v>1358726</v>
      </c>
      <c r="AL81" s="34"/>
      <c r="AM81" s="34">
        <v>192040</v>
      </c>
      <c r="AN81" s="34"/>
      <c r="AO81" s="34">
        <v>0</v>
      </c>
      <c r="AP81" s="34"/>
      <c r="AQ81" s="38">
        <f t="shared" si="5"/>
        <v>1441008</v>
      </c>
      <c r="AR81" s="38"/>
      <c r="AS81" s="106" t="s">
        <v>163</v>
      </c>
      <c r="AT81" s="34"/>
      <c r="AU81" s="106" t="s">
        <v>163</v>
      </c>
      <c r="AV81" s="34"/>
      <c r="AW81" s="34">
        <f t="shared" si="6"/>
        <v>1672653</v>
      </c>
      <c r="AX81" s="34"/>
      <c r="AY81" s="78" t="s">
        <v>191</v>
      </c>
      <c r="AZ81" s="34"/>
      <c r="BA81" s="34">
        <v>0</v>
      </c>
      <c r="BB81" s="34"/>
      <c r="BC81" s="34">
        <v>0</v>
      </c>
      <c r="BD81" s="34"/>
      <c r="BE81" s="34">
        <v>0</v>
      </c>
      <c r="BF81" s="34"/>
      <c r="BG81" s="34">
        <v>21360</v>
      </c>
      <c r="BH81" s="34"/>
      <c r="BI81" s="34"/>
      <c r="BJ81" s="34"/>
      <c r="BK81" s="34">
        <f t="shared" si="10"/>
        <v>21360</v>
      </c>
      <c r="BL81" s="8"/>
    </row>
    <row r="82" spans="1:64" ht="12">
      <c r="A82" s="28" t="s">
        <v>71</v>
      </c>
      <c r="C82" s="37">
        <f aca="true" t="shared" si="11" ref="C82:C96">G82-E82</f>
        <v>37025</v>
      </c>
      <c r="D82" s="37"/>
      <c r="E82" s="37">
        <v>127701</v>
      </c>
      <c r="F82" s="37"/>
      <c r="G82" s="37">
        <v>164726</v>
      </c>
      <c r="H82" s="37"/>
      <c r="I82" s="96">
        <f aca="true" t="shared" si="12" ref="I82:I96">M82-K82</f>
        <v>1411</v>
      </c>
      <c r="J82" s="96"/>
      <c r="K82" s="96">
        <f aca="true" t="shared" si="13" ref="K82:K96">SUM(BK82)</f>
        <v>0</v>
      </c>
      <c r="L82" s="37"/>
      <c r="M82" s="37">
        <v>1411</v>
      </c>
      <c r="N82" s="37"/>
      <c r="O82" s="37">
        <v>127701</v>
      </c>
      <c r="P82" s="37"/>
      <c r="Q82" s="37">
        <v>0</v>
      </c>
      <c r="R82" s="37"/>
      <c r="S82" s="37">
        <v>35614</v>
      </c>
      <c r="T82" s="37"/>
      <c r="U82" s="37">
        <f aca="true" t="shared" si="14" ref="U82:U96">SUM(O82:S82)</f>
        <v>163315</v>
      </c>
      <c r="V82" s="37"/>
      <c r="W82" s="37">
        <f t="shared" si="9"/>
        <v>0</v>
      </c>
      <c r="X82" s="37"/>
      <c r="Y82" s="78" t="s">
        <v>71</v>
      </c>
      <c r="Z82" s="37"/>
      <c r="AA82" s="34">
        <v>35593</v>
      </c>
      <c r="AB82" s="34"/>
      <c r="AC82" s="34">
        <f>31465-5000</f>
        <v>26465</v>
      </c>
      <c r="AD82" s="34"/>
      <c r="AE82" s="34">
        <v>5000</v>
      </c>
      <c r="AF82" s="34"/>
      <c r="AG82" s="38">
        <f aca="true" t="shared" si="15" ref="AG82:AG96">+AA82-AC82-AE82</f>
        <v>4128</v>
      </c>
      <c r="AH82" s="38"/>
      <c r="AI82" s="38">
        <v>400</v>
      </c>
      <c r="AJ82" s="38"/>
      <c r="AK82" s="34">
        <v>0</v>
      </c>
      <c r="AL82" s="34"/>
      <c r="AM82" s="34">
        <v>400</v>
      </c>
      <c r="AN82" s="34"/>
      <c r="AO82" s="34">
        <v>0</v>
      </c>
      <c r="AP82" s="34"/>
      <c r="AQ82" s="38">
        <f aca="true" t="shared" si="16" ref="AQ82:AQ96">+AG82+AI82+AK82-AM82+AO82</f>
        <v>4128</v>
      </c>
      <c r="AR82" s="38"/>
      <c r="AS82" s="106" t="s">
        <v>163</v>
      </c>
      <c r="AT82" s="34"/>
      <c r="AU82" s="106" t="s">
        <v>163</v>
      </c>
      <c r="AV82" s="34"/>
      <c r="AW82" s="34">
        <f aca="true" t="shared" si="17" ref="AW82:AW96">+C82-I82</f>
        <v>35614</v>
      </c>
      <c r="AX82" s="34"/>
      <c r="AY82" s="78" t="s">
        <v>71</v>
      </c>
      <c r="AZ82" s="34"/>
      <c r="BA82" s="34">
        <v>0</v>
      </c>
      <c r="BB82" s="34"/>
      <c r="BC82" s="34">
        <v>0</v>
      </c>
      <c r="BD82" s="34"/>
      <c r="BE82" s="34">
        <v>0</v>
      </c>
      <c r="BF82" s="34"/>
      <c r="BG82" s="34">
        <v>0</v>
      </c>
      <c r="BH82" s="34"/>
      <c r="BI82" s="34"/>
      <c r="BJ82" s="34"/>
      <c r="BK82" s="34">
        <f t="shared" si="10"/>
        <v>0</v>
      </c>
      <c r="BL82" s="8"/>
    </row>
    <row r="83" spans="1:64" ht="12">
      <c r="A83" s="28" t="s">
        <v>101</v>
      </c>
      <c r="C83" s="37">
        <f t="shared" si="11"/>
        <v>1444832</v>
      </c>
      <c r="D83" s="37"/>
      <c r="E83" s="37">
        <v>6709825</v>
      </c>
      <c r="F83" s="37"/>
      <c r="G83" s="37">
        <v>8154657</v>
      </c>
      <c r="H83" s="37"/>
      <c r="I83" s="96">
        <f t="shared" si="12"/>
        <v>18533</v>
      </c>
      <c r="J83" s="96"/>
      <c r="K83" s="96">
        <f t="shared" si="13"/>
        <v>398495</v>
      </c>
      <c r="L83" s="37"/>
      <c r="M83" s="37">
        <v>417028</v>
      </c>
      <c r="N83" s="37"/>
      <c r="O83" s="37">
        <v>0</v>
      </c>
      <c r="P83" s="37"/>
      <c r="Q83" s="37">
        <v>0</v>
      </c>
      <c r="R83" s="37"/>
      <c r="S83" s="37">
        <f>7737329+300</f>
        <v>7737629</v>
      </c>
      <c r="T83" s="37"/>
      <c r="U83" s="37">
        <f t="shared" si="14"/>
        <v>7737629</v>
      </c>
      <c r="V83" s="37"/>
      <c r="W83" s="37">
        <f t="shared" si="9"/>
        <v>0</v>
      </c>
      <c r="X83" s="37"/>
      <c r="Y83" s="78" t="s">
        <v>101</v>
      </c>
      <c r="Z83" s="37"/>
      <c r="AA83" s="34">
        <v>863024</v>
      </c>
      <c r="AB83" s="34"/>
      <c r="AC83" s="34">
        <v>610170</v>
      </c>
      <c r="AD83" s="34"/>
      <c r="AE83" s="34">
        <v>194143</v>
      </c>
      <c r="AF83" s="34"/>
      <c r="AG83" s="38">
        <f t="shared" si="15"/>
        <v>58711</v>
      </c>
      <c r="AH83" s="38"/>
      <c r="AI83" s="38">
        <v>-33155</v>
      </c>
      <c r="AJ83" s="38"/>
      <c r="AK83" s="34">
        <v>15990</v>
      </c>
      <c r="AL83" s="34"/>
      <c r="AM83" s="34">
        <v>121757</v>
      </c>
      <c r="AN83" s="34"/>
      <c r="AO83" s="34">
        <v>0</v>
      </c>
      <c r="AP83" s="34"/>
      <c r="AQ83" s="38">
        <f t="shared" si="16"/>
        <v>-80211</v>
      </c>
      <c r="AR83" s="38"/>
      <c r="AS83" s="34">
        <v>15364</v>
      </c>
      <c r="AT83" s="34"/>
      <c r="AU83" s="34">
        <v>-12853</v>
      </c>
      <c r="AV83" s="34"/>
      <c r="AW83" s="34">
        <f t="shared" si="17"/>
        <v>1426299</v>
      </c>
      <c r="AX83" s="34"/>
      <c r="AY83" s="78" t="s">
        <v>101</v>
      </c>
      <c r="AZ83" s="34"/>
      <c r="BA83" s="34">
        <v>320000</v>
      </c>
      <c r="BB83" s="34"/>
      <c r="BC83" s="34">
        <v>0</v>
      </c>
      <c r="BD83" s="34"/>
      <c r="BE83" s="34">
        <v>0</v>
      </c>
      <c r="BF83" s="34"/>
      <c r="BG83" s="34">
        <f>68495+10000</f>
        <v>78495</v>
      </c>
      <c r="BH83" s="34"/>
      <c r="BI83" s="34"/>
      <c r="BJ83" s="34"/>
      <c r="BK83" s="34">
        <f t="shared" si="10"/>
        <v>398495</v>
      </c>
      <c r="BL83" s="8"/>
    </row>
    <row r="84" spans="1:64" ht="12">
      <c r="A84" s="28" t="s">
        <v>73</v>
      </c>
      <c r="C84" s="37">
        <f t="shared" si="11"/>
        <v>2262211</v>
      </c>
      <c r="D84" s="37"/>
      <c r="E84" s="37">
        <v>11529816</v>
      </c>
      <c r="F84" s="37"/>
      <c r="G84" s="37">
        <v>13792027</v>
      </c>
      <c r="H84" s="37"/>
      <c r="I84" s="96">
        <f t="shared" si="12"/>
        <v>4954714</v>
      </c>
      <c r="J84" s="96"/>
      <c r="K84" s="96">
        <f t="shared" si="13"/>
        <v>3318008</v>
      </c>
      <c r="L84" s="37"/>
      <c r="M84" s="37">
        <v>8272722</v>
      </c>
      <c r="N84" s="37"/>
      <c r="O84" s="37">
        <v>0</v>
      </c>
      <c r="P84" s="37"/>
      <c r="Q84" s="37">
        <v>0</v>
      </c>
      <c r="R84" s="37"/>
      <c r="S84" s="37">
        <v>5519305</v>
      </c>
      <c r="T84" s="37"/>
      <c r="U84" s="37">
        <f t="shared" si="14"/>
        <v>5519305</v>
      </c>
      <c r="V84" s="37"/>
      <c r="W84" s="37">
        <f t="shared" si="9"/>
        <v>0</v>
      </c>
      <c r="X84" s="37"/>
      <c r="Y84" s="78" t="s">
        <v>73</v>
      </c>
      <c r="Z84" s="37"/>
      <c r="AA84" s="34">
        <v>1981817</v>
      </c>
      <c r="AB84" s="34"/>
      <c r="AC84" s="34">
        <f>1841949-406973</f>
        <v>1434976</v>
      </c>
      <c r="AD84" s="34"/>
      <c r="AE84" s="34">
        <v>406973</v>
      </c>
      <c r="AF84" s="34"/>
      <c r="AG84" s="38">
        <f t="shared" si="15"/>
        <v>139868</v>
      </c>
      <c r="AH84" s="38"/>
      <c r="AI84" s="38">
        <v>-213458</v>
      </c>
      <c r="AJ84" s="38"/>
      <c r="AK84" s="34">
        <v>0</v>
      </c>
      <c r="AL84" s="34"/>
      <c r="AM84" s="34">
        <v>0</v>
      </c>
      <c r="AN84" s="34"/>
      <c r="AO84" s="34">
        <v>0</v>
      </c>
      <c r="AP84" s="34"/>
      <c r="AQ84" s="38">
        <f t="shared" si="16"/>
        <v>-73590</v>
      </c>
      <c r="AR84" s="38"/>
      <c r="AS84" s="106" t="s">
        <v>163</v>
      </c>
      <c r="AT84" s="34"/>
      <c r="AU84" s="106" t="s">
        <v>163</v>
      </c>
      <c r="AV84" s="34"/>
      <c r="AW84" s="34">
        <f t="shared" si="17"/>
        <v>-2692503</v>
      </c>
      <c r="AX84" s="34"/>
      <c r="AY84" s="78" t="s">
        <v>73</v>
      </c>
      <c r="AZ84" s="34"/>
      <c r="BA84" s="34">
        <v>3073008</v>
      </c>
      <c r="BB84" s="34"/>
      <c r="BC84" s="34">
        <v>245000</v>
      </c>
      <c r="BD84" s="34"/>
      <c r="BE84" s="34">
        <v>0</v>
      </c>
      <c r="BF84" s="34"/>
      <c r="BG84" s="34">
        <v>0</v>
      </c>
      <c r="BH84" s="34"/>
      <c r="BI84" s="34"/>
      <c r="BJ84" s="34"/>
      <c r="BK84" s="34">
        <f t="shared" si="10"/>
        <v>3318008</v>
      </c>
      <c r="BL84" s="8"/>
    </row>
    <row r="85" spans="1:64" ht="12">
      <c r="A85" s="28" t="s">
        <v>74</v>
      </c>
      <c r="C85" s="37">
        <f>G85-E85</f>
        <v>44235</v>
      </c>
      <c r="D85" s="37"/>
      <c r="E85" s="37">
        <f>58779+113258</f>
        <v>172037</v>
      </c>
      <c r="F85" s="37"/>
      <c r="G85" s="37">
        <f>78148+138124</f>
        <v>216272</v>
      </c>
      <c r="H85" s="37"/>
      <c r="I85" s="96">
        <f>M85-K85</f>
        <v>-3437513</v>
      </c>
      <c r="J85" s="96"/>
      <c r="K85" s="96">
        <f>SUM(BK85)</f>
        <v>3443640</v>
      </c>
      <c r="L85" s="37"/>
      <c r="M85" s="37">
        <f>773+5354</f>
        <v>6127</v>
      </c>
      <c r="N85" s="37"/>
      <c r="O85" s="37">
        <v>0</v>
      </c>
      <c r="P85" s="37"/>
      <c r="Q85" s="37">
        <v>0</v>
      </c>
      <c r="R85" s="37"/>
      <c r="S85" s="37">
        <f>77375+132770</f>
        <v>210145</v>
      </c>
      <c r="T85" s="37"/>
      <c r="U85" s="37">
        <f>SUM(O85:S85)</f>
        <v>210145</v>
      </c>
      <c r="V85" s="37"/>
      <c r="W85" s="37">
        <f t="shared" si="9"/>
        <v>0</v>
      </c>
      <c r="X85" s="37"/>
      <c r="Y85" s="78" t="s">
        <v>74</v>
      </c>
      <c r="Z85" s="37"/>
      <c r="AA85" s="34">
        <f>16545+74113</f>
        <v>90658</v>
      </c>
      <c r="AB85" s="34"/>
      <c r="AC85" s="34">
        <f>43110+87543-3285-3795</f>
        <v>123573</v>
      </c>
      <c r="AD85" s="34"/>
      <c r="AE85" s="34">
        <f>3285+3795</f>
        <v>7080</v>
      </c>
      <c r="AF85" s="34"/>
      <c r="AG85" s="38">
        <f>+AA85-AC85-AE85</f>
        <v>-39995</v>
      </c>
      <c r="AH85" s="38"/>
      <c r="AI85" s="38">
        <v>0</v>
      </c>
      <c r="AJ85" s="38"/>
      <c r="AK85" s="34">
        <v>0</v>
      </c>
      <c r="AL85" s="34"/>
      <c r="AM85" s="34">
        <v>0</v>
      </c>
      <c r="AN85" s="34"/>
      <c r="AO85" s="34">
        <v>0</v>
      </c>
      <c r="AP85" s="34"/>
      <c r="AQ85" s="38">
        <f>+AG85+AI85+AK85-AM85+AO85</f>
        <v>-39995</v>
      </c>
      <c r="AR85" s="38"/>
      <c r="AS85" s="106" t="s">
        <v>163</v>
      </c>
      <c r="AT85" s="34"/>
      <c r="AU85" s="106" t="s">
        <v>163</v>
      </c>
      <c r="AV85" s="34"/>
      <c r="AW85" s="34">
        <f>+C85-I85</f>
        <v>3481748</v>
      </c>
      <c r="AX85" s="34"/>
      <c r="AY85" s="78" t="s">
        <v>74</v>
      </c>
      <c r="AZ85" s="34"/>
      <c r="BA85" s="34">
        <v>0</v>
      </c>
      <c r="BB85" s="34"/>
      <c r="BC85" s="34">
        <v>0</v>
      </c>
      <c r="BD85" s="34"/>
      <c r="BE85" s="34">
        <f>158293</f>
        <v>158293</v>
      </c>
      <c r="BF85" s="34"/>
      <c r="BG85" s="34">
        <f>3285347</f>
        <v>3285347</v>
      </c>
      <c r="BH85" s="34"/>
      <c r="BI85" s="34"/>
      <c r="BJ85" s="34"/>
      <c r="BK85" s="34">
        <f t="shared" si="10"/>
        <v>3443640</v>
      </c>
      <c r="BL85" s="8"/>
    </row>
    <row r="86" spans="1:64" ht="12">
      <c r="A86" s="28" t="s">
        <v>75</v>
      </c>
      <c r="C86" s="37">
        <f t="shared" si="11"/>
        <v>1365321</v>
      </c>
      <c r="D86" s="37"/>
      <c r="E86" s="37">
        <v>6961940</v>
      </c>
      <c r="F86" s="37"/>
      <c r="G86" s="37">
        <v>8327261</v>
      </c>
      <c r="H86" s="37"/>
      <c r="I86" s="96">
        <f t="shared" si="12"/>
        <v>150432</v>
      </c>
      <c r="J86" s="96"/>
      <c r="K86" s="96">
        <f t="shared" si="13"/>
        <v>2095005</v>
      </c>
      <c r="L86" s="37"/>
      <c r="M86" s="37">
        <v>2245437</v>
      </c>
      <c r="N86" s="37"/>
      <c r="O86" s="37">
        <v>0</v>
      </c>
      <c r="P86" s="37"/>
      <c r="Q86" s="37">
        <v>0</v>
      </c>
      <c r="R86" s="37"/>
      <c r="S86" s="37">
        <v>6081824</v>
      </c>
      <c r="T86" s="37"/>
      <c r="U86" s="37">
        <f t="shared" si="14"/>
        <v>6081824</v>
      </c>
      <c r="V86" s="37"/>
      <c r="W86" s="37">
        <f t="shared" si="9"/>
        <v>0</v>
      </c>
      <c r="X86" s="37"/>
      <c r="Y86" s="78" t="s">
        <v>75</v>
      </c>
      <c r="Z86" s="37"/>
      <c r="AA86" s="34">
        <v>496143</v>
      </c>
      <c r="AB86" s="34"/>
      <c r="AC86" s="34">
        <v>558080</v>
      </c>
      <c r="AD86" s="34"/>
      <c r="AE86" s="34">
        <v>210204</v>
      </c>
      <c r="AF86" s="34"/>
      <c r="AG86" s="38">
        <f t="shared" si="15"/>
        <v>-272141</v>
      </c>
      <c r="AH86" s="38"/>
      <c r="AI86" s="38">
        <f>-2437-174317</f>
        <v>-176754</v>
      </c>
      <c r="AJ86" s="38"/>
      <c r="AK86" s="34">
        <v>498005</v>
      </c>
      <c r="AL86" s="34"/>
      <c r="AM86" s="34">
        <v>0</v>
      </c>
      <c r="AN86" s="34"/>
      <c r="AO86" s="34">
        <v>0</v>
      </c>
      <c r="AP86" s="34"/>
      <c r="AQ86" s="38">
        <f t="shared" si="16"/>
        <v>49110</v>
      </c>
      <c r="AR86" s="38"/>
      <c r="AS86" s="34">
        <v>19149</v>
      </c>
      <c r="AT86" s="34"/>
      <c r="AU86" s="34">
        <v>-1214889</v>
      </c>
      <c r="AV86" s="34"/>
      <c r="AW86" s="34">
        <f t="shared" si="17"/>
        <v>1214889</v>
      </c>
      <c r="AX86" s="34"/>
      <c r="AY86" s="78" t="s">
        <v>75</v>
      </c>
      <c r="AZ86" s="34"/>
      <c r="BA86" s="34">
        <v>0</v>
      </c>
      <c r="BB86" s="34"/>
      <c r="BC86" s="34">
        <v>0</v>
      </c>
      <c r="BD86" s="34"/>
      <c r="BE86" s="34">
        <v>2065174</v>
      </c>
      <c r="BF86" s="34"/>
      <c r="BG86" s="34">
        <f>29831</f>
        <v>29831</v>
      </c>
      <c r="BH86" s="34"/>
      <c r="BI86" s="34"/>
      <c r="BJ86" s="34"/>
      <c r="BK86" s="34">
        <f t="shared" si="10"/>
        <v>2095005</v>
      </c>
      <c r="BL86" s="8"/>
    </row>
    <row r="87" spans="1:64" ht="12">
      <c r="A87" s="28" t="s">
        <v>76</v>
      </c>
      <c r="C87" s="37">
        <f t="shared" si="11"/>
        <v>19648695</v>
      </c>
      <c r="D87" s="37"/>
      <c r="E87" s="37">
        <v>98114831</v>
      </c>
      <c r="F87" s="37"/>
      <c r="G87" s="37">
        <v>117763526</v>
      </c>
      <c r="H87" s="37"/>
      <c r="I87" s="96">
        <f t="shared" si="12"/>
        <v>3902120</v>
      </c>
      <c r="J87" s="96"/>
      <c r="K87" s="96">
        <f t="shared" si="13"/>
        <v>34088448</v>
      </c>
      <c r="L87" s="37"/>
      <c r="M87" s="37">
        <v>37990568</v>
      </c>
      <c r="N87" s="37"/>
      <c r="O87" s="37">
        <v>61990311</v>
      </c>
      <c r="P87" s="37"/>
      <c r="Q87" s="37">
        <v>0</v>
      </c>
      <c r="R87" s="37"/>
      <c r="S87" s="37">
        <v>17782647</v>
      </c>
      <c r="T87" s="37"/>
      <c r="U87" s="37">
        <f t="shared" si="14"/>
        <v>79772958</v>
      </c>
      <c r="V87" s="37"/>
      <c r="W87" s="37">
        <f t="shared" si="9"/>
        <v>0</v>
      </c>
      <c r="X87" s="37"/>
      <c r="Y87" s="78" t="s">
        <v>76</v>
      </c>
      <c r="Z87" s="37"/>
      <c r="AA87" s="34">
        <v>15919984</v>
      </c>
      <c r="AB87" s="34"/>
      <c r="AC87" s="34">
        <f>14563964-3232801</f>
        <v>11331163</v>
      </c>
      <c r="AD87" s="34"/>
      <c r="AE87" s="34">
        <v>3232801</v>
      </c>
      <c r="AF87" s="34"/>
      <c r="AG87" s="38">
        <f t="shared" si="15"/>
        <v>1356020</v>
      </c>
      <c r="AH87" s="38"/>
      <c r="AI87" s="38">
        <v>-871528</v>
      </c>
      <c r="AJ87" s="38"/>
      <c r="AK87" s="34">
        <v>0</v>
      </c>
      <c r="AL87" s="34"/>
      <c r="AM87" s="34">
        <v>0</v>
      </c>
      <c r="AN87" s="34"/>
      <c r="AO87" s="34">
        <v>1798488</v>
      </c>
      <c r="AP87" s="34"/>
      <c r="AQ87" s="38">
        <f t="shared" si="16"/>
        <v>2282980</v>
      </c>
      <c r="AR87" s="38"/>
      <c r="AS87" s="106" t="s">
        <v>163</v>
      </c>
      <c r="AT87" s="34"/>
      <c r="AU87" s="106" t="s">
        <v>163</v>
      </c>
      <c r="AV87" s="34"/>
      <c r="AW87" s="34">
        <f t="shared" si="17"/>
        <v>15746575</v>
      </c>
      <c r="AX87" s="34"/>
      <c r="AY87" s="78" t="s">
        <v>76</v>
      </c>
      <c r="AZ87" s="34"/>
      <c r="BA87" s="34">
        <v>16000000</v>
      </c>
      <c r="BB87" s="34"/>
      <c r="BC87" s="34">
        <v>0</v>
      </c>
      <c r="BD87" s="34"/>
      <c r="BE87" s="34">
        <f>835810+17252638</f>
        <v>18088448</v>
      </c>
      <c r="BF87" s="34"/>
      <c r="BG87" s="34">
        <v>0</v>
      </c>
      <c r="BH87" s="34"/>
      <c r="BI87" s="34"/>
      <c r="BJ87" s="34"/>
      <c r="BK87" s="34">
        <f t="shared" si="10"/>
        <v>34088448</v>
      </c>
      <c r="BL87" s="8"/>
    </row>
    <row r="88" spans="1:64" ht="12">
      <c r="A88" s="28" t="s">
        <v>77</v>
      </c>
      <c r="C88" s="37">
        <f t="shared" si="11"/>
        <v>19068737</v>
      </c>
      <c r="D88" s="37"/>
      <c r="E88" s="37">
        <v>214944180</v>
      </c>
      <c r="F88" s="37"/>
      <c r="G88" s="37">
        <v>234012917</v>
      </c>
      <c r="H88" s="37"/>
      <c r="I88" s="96">
        <f t="shared" si="12"/>
        <v>6638746</v>
      </c>
      <c r="J88" s="96"/>
      <c r="K88" s="96">
        <f t="shared" si="13"/>
        <v>89757670</v>
      </c>
      <c r="L88" s="37"/>
      <c r="M88" s="37">
        <v>96396416</v>
      </c>
      <c r="N88" s="37"/>
      <c r="O88" s="37">
        <v>126873679</v>
      </c>
      <c r="P88" s="37"/>
      <c r="Q88" s="37">
        <v>0</v>
      </c>
      <c r="R88" s="37"/>
      <c r="S88" s="37">
        <v>10742822</v>
      </c>
      <c r="T88" s="37"/>
      <c r="U88" s="37">
        <f t="shared" si="14"/>
        <v>137616501</v>
      </c>
      <c r="V88" s="37"/>
      <c r="W88" s="37">
        <f t="shared" si="9"/>
        <v>0</v>
      </c>
      <c r="X88" s="37"/>
      <c r="Y88" s="78" t="s">
        <v>77</v>
      </c>
      <c r="Z88" s="37"/>
      <c r="AA88" s="34">
        <v>26349048</v>
      </c>
      <c r="AB88" s="34"/>
      <c r="AC88" s="34">
        <f>25900306-5497558</f>
        <v>20402748</v>
      </c>
      <c r="AD88" s="34"/>
      <c r="AE88" s="34">
        <v>5497558</v>
      </c>
      <c r="AF88" s="34"/>
      <c r="AG88" s="38">
        <f t="shared" si="15"/>
        <v>448742</v>
      </c>
      <c r="AH88" s="38"/>
      <c r="AI88" s="38">
        <v>-1248638</v>
      </c>
      <c r="AJ88" s="38"/>
      <c r="AK88" s="34">
        <v>0</v>
      </c>
      <c r="AL88" s="34"/>
      <c r="AM88" s="34">
        <v>69773</v>
      </c>
      <c r="AN88" s="34"/>
      <c r="AO88" s="34">
        <v>4115062</v>
      </c>
      <c r="AP88" s="34"/>
      <c r="AQ88" s="38">
        <f t="shared" si="16"/>
        <v>3245393</v>
      </c>
      <c r="AR88" s="38"/>
      <c r="AS88" s="106" t="s">
        <v>163</v>
      </c>
      <c r="AT88" s="34"/>
      <c r="AU88" s="106" t="s">
        <v>163</v>
      </c>
      <c r="AV88" s="34"/>
      <c r="AW88" s="34">
        <f t="shared" si="17"/>
        <v>12429991</v>
      </c>
      <c r="AX88" s="34"/>
      <c r="AY88" s="78" t="s">
        <v>77</v>
      </c>
      <c r="AZ88" s="34"/>
      <c r="BA88" s="34">
        <v>63533799</v>
      </c>
      <c r="BB88" s="34"/>
      <c r="BC88" s="34">
        <v>0</v>
      </c>
      <c r="BD88" s="34"/>
      <c r="BE88" s="34">
        <f>24556623+750000+183714</f>
        <v>25490337</v>
      </c>
      <c r="BF88" s="34"/>
      <c r="BG88" s="34">
        <f>733534</f>
        <v>733534</v>
      </c>
      <c r="BH88" s="34"/>
      <c r="BI88" s="34"/>
      <c r="BJ88" s="34"/>
      <c r="BK88" s="34">
        <f t="shared" si="10"/>
        <v>89757670</v>
      </c>
      <c r="BL88" s="8"/>
    </row>
    <row r="89" spans="1:64" ht="12">
      <c r="A89" s="28" t="s">
        <v>78</v>
      </c>
      <c r="C89" s="37">
        <f t="shared" si="11"/>
        <v>5232635</v>
      </c>
      <c r="D89" s="37"/>
      <c r="E89" s="37">
        <v>15448213</v>
      </c>
      <c r="F89" s="37"/>
      <c r="G89" s="37">
        <v>20680848</v>
      </c>
      <c r="H89" s="37"/>
      <c r="I89" s="96">
        <f t="shared" si="12"/>
        <v>1483811</v>
      </c>
      <c r="J89" s="96"/>
      <c r="K89" s="96">
        <f t="shared" si="13"/>
        <v>7359290</v>
      </c>
      <c r="L89" s="37"/>
      <c r="M89" s="37">
        <v>8843101</v>
      </c>
      <c r="N89" s="37"/>
      <c r="O89" s="37">
        <v>7411550</v>
      </c>
      <c r="P89" s="37"/>
      <c r="Q89" s="37">
        <v>0</v>
      </c>
      <c r="R89" s="37"/>
      <c r="S89" s="37">
        <v>4426197</v>
      </c>
      <c r="T89" s="37"/>
      <c r="U89" s="37">
        <f t="shared" si="14"/>
        <v>11837747</v>
      </c>
      <c r="V89" s="37"/>
      <c r="W89" s="37">
        <f t="shared" si="9"/>
        <v>0</v>
      </c>
      <c r="X89" s="37"/>
      <c r="Y89" s="78" t="s">
        <v>78</v>
      </c>
      <c r="Z89" s="37"/>
      <c r="AA89" s="34">
        <v>7881550</v>
      </c>
      <c r="AB89" s="34"/>
      <c r="AC89" s="34">
        <f>5295389-1791252</f>
        <v>3504137</v>
      </c>
      <c r="AD89" s="34"/>
      <c r="AE89" s="34">
        <v>1791252</v>
      </c>
      <c r="AF89" s="34"/>
      <c r="AG89" s="38">
        <f t="shared" si="15"/>
        <v>2586161</v>
      </c>
      <c r="AH89" s="38"/>
      <c r="AI89" s="38">
        <v>-696803</v>
      </c>
      <c r="AJ89" s="38"/>
      <c r="AK89" s="34">
        <v>1049499</v>
      </c>
      <c r="AL89" s="34"/>
      <c r="AM89" s="34">
        <v>1524369</v>
      </c>
      <c r="AN89" s="34"/>
      <c r="AO89" s="34">
        <v>2210506</v>
      </c>
      <c r="AP89" s="34"/>
      <c r="AQ89" s="38">
        <f t="shared" si="16"/>
        <v>3624994</v>
      </c>
      <c r="AR89" s="38"/>
      <c r="AS89" s="106" t="s">
        <v>163</v>
      </c>
      <c r="AT89" s="34"/>
      <c r="AU89" s="106" t="s">
        <v>163</v>
      </c>
      <c r="AV89" s="34"/>
      <c r="AW89" s="34">
        <f t="shared" si="17"/>
        <v>3748824</v>
      </c>
      <c r="AX89" s="34"/>
      <c r="AY89" s="78" t="s">
        <v>78</v>
      </c>
      <c r="AZ89" s="34"/>
      <c r="BA89" s="34">
        <v>705000</v>
      </c>
      <c r="BB89" s="34"/>
      <c r="BC89" s="34">
        <v>0</v>
      </c>
      <c r="BD89" s="34"/>
      <c r="BE89" s="34">
        <f>52345+6377774</f>
        <v>6430119</v>
      </c>
      <c r="BF89" s="34"/>
      <c r="BG89" s="34">
        <v>224171</v>
      </c>
      <c r="BH89" s="34"/>
      <c r="BI89" s="34"/>
      <c r="BJ89" s="34"/>
      <c r="BK89" s="34">
        <f t="shared" si="10"/>
        <v>7359290</v>
      </c>
      <c r="BL89" s="8"/>
    </row>
    <row r="90" spans="1:64" ht="12">
      <c r="A90" s="28" t="s">
        <v>79</v>
      </c>
      <c r="C90" s="37">
        <f t="shared" si="11"/>
        <v>2112349</v>
      </c>
      <c r="D90" s="37"/>
      <c r="E90" s="37">
        <v>11417774</v>
      </c>
      <c r="F90" s="37"/>
      <c r="G90" s="37">
        <v>13530123</v>
      </c>
      <c r="H90" s="37"/>
      <c r="I90" s="96">
        <f t="shared" si="12"/>
        <v>225307</v>
      </c>
      <c r="J90" s="96"/>
      <c r="K90" s="96">
        <f t="shared" si="13"/>
        <v>2226981</v>
      </c>
      <c r="L90" s="37"/>
      <c r="M90" s="37">
        <v>2452288</v>
      </c>
      <c r="N90" s="37"/>
      <c r="O90" s="37">
        <v>0</v>
      </c>
      <c r="P90" s="37"/>
      <c r="Q90" s="37">
        <v>0</v>
      </c>
      <c r="R90" s="37"/>
      <c r="S90" s="37">
        <v>11077835</v>
      </c>
      <c r="T90" s="37"/>
      <c r="U90" s="37">
        <f t="shared" si="14"/>
        <v>11077835</v>
      </c>
      <c r="V90" s="37"/>
      <c r="W90" s="37">
        <f t="shared" si="9"/>
        <v>0</v>
      </c>
      <c r="X90" s="37"/>
      <c r="Y90" s="78" t="s">
        <v>79</v>
      </c>
      <c r="Z90" s="37"/>
      <c r="AA90" s="34">
        <v>1004586</v>
      </c>
      <c r="AB90" s="34"/>
      <c r="AC90" s="34">
        <f>1229693-407742</f>
        <v>821951</v>
      </c>
      <c r="AD90" s="34"/>
      <c r="AE90" s="34">
        <v>407742</v>
      </c>
      <c r="AF90" s="34"/>
      <c r="AG90" s="38">
        <f t="shared" si="15"/>
        <v>-225107</v>
      </c>
      <c r="AH90" s="38"/>
      <c r="AI90" s="38">
        <v>-55201</v>
      </c>
      <c r="AJ90" s="38"/>
      <c r="AK90" s="34">
        <v>13</v>
      </c>
      <c r="AL90" s="34"/>
      <c r="AM90" s="34">
        <v>0</v>
      </c>
      <c r="AN90" s="34"/>
      <c r="AO90" s="34">
        <v>0</v>
      </c>
      <c r="AP90" s="34"/>
      <c r="AQ90" s="38">
        <f t="shared" si="16"/>
        <v>-280295</v>
      </c>
      <c r="AR90" s="38"/>
      <c r="AS90" s="106" t="s">
        <v>163</v>
      </c>
      <c r="AT90" s="34"/>
      <c r="AU90" s="106" t="s">
        <v>163</v>
      </c>
      <c r="AV90" s="34"/>
      <c r="AW90" s="34">
        <f t="shared" si="17"/>
        <v>1887042</v>
      </c>
      <c r="AX90" s="34"/>
      <c r="AY90" s="78" t="s">
        <v>79</v>
      </c>
      <c r="AZ90" s="34"/>
      <c r="BA90" s="34">
        <v>0</v>
      </c>
      <c r="BB90" s="34"/>
      <c r="BC90" s="34">
        <v>0</v>
      </c>
      <c r="BD90" s="34"/>
      <c r="BE90" s="34">
        <f>346198+597475</f>
        <v>943673</v>
      </c>
      <c r="BF90" s="34"/>
      <c r="BG90" s="34">
        <f>10520+959788+313000</f>
        <v>1283308</v>
      </c>
      <c r="BH90" s="34"/>
      <c r="BI90" s="34"/>
      <c r="BJ90" s="34"/>
      <c r="BK90" s="34">
        <f t="shared" si="10"/>
        <v>2226981</v>
      </c>
      <c r="BL90" s="8"/>
    </row>
    <row r="91" spans="1:64" ht="12">
      <c r="A91" s="28" t="s">
        <v>80</v>
      </c>
      <c r="C91" s="37">
        <f t="shared" si="11"/>
        <v>903625</v>
      </c>
      <c r="D91" s="37"/>
      <c r="E91" s="37">
        <v>3103119</v>
      </c>
      <c r="F91" s="37"/>
      <c r="G91" s="37">
        <v>4006744</v>
      </c>
      <c r="H91" s="37"/>
      <c r="I91" s="96">
        <f t="shared" si="12"/>
        <v>284304</v>
      </c>
      <c r="J91" s="96"/>
      <c r="K91" s="96">
        <f t="shared" si="13"/>
        <v>2250000</v>
      </c>
      <c r="L91" s="37"/>
      <c r="M91" s="37">
        <v>2534304</v>
      </c>
      <c r="N91" s="37"/>
      <c r="O91" s="37">
        <v>0</v>
      </c>
      <c r="P91" s="37"/>
      <c r="Q91" s="37">
        <v>0</v>
      </c>
      <c r="R91" s="37"/>
      <c r="S91" s="37">
        <v>1472440</v>
      </c>
      <c r="T91" s="37"/>
      <c r="U91" s="37">
        <f t="shared" si="14"/>
        <v>1472440</v>
      </c>
      <c r="V91" s="37"/>
      <c r="W91" s="37">
        <f t="shared" si="9"/>
        <v>0</v>
      </c>
      <c r="X91" s="37"/>
      <c r="Y91" s="78" t="s">
        <v>80</v>
      </c>
      <c r="Z91" s="37"/>
      <c r="AA91" s="34">
        <v>744943</v>
      </c>
      <c r="AB91" s="34"/>
      <c r="AC91" s="34">
        <v>594364</v>
      </c>
      <c r="AD91" s="34"/>
      <c r="AE91" s="34">
        <v>114035</v>
      </c>
      <c r="AF91" s="34"/>
      <c r="AG91" s="38">
        <f t="shared" si="15"/>
        <v>36544</v>
      </c>
      <c r="AH91" s="38"/>
      <c r="AI91" s="38">
        <v>-1984275</v>
      </c>
      <c r="AJ91" s="38"/>
      <c r="AK91" s="34">
        <v>0</v>
      </c>
      <c r="AL91" s="34"/>
      <c r="AM91" s="34">
        <v>0</v>
      </c>
      <c r="AN91" s="34"/>
      <c r="AO91" s="34">
        <v>1893294</v>
      </c>
      <c r="AP91" s="34"/>
      <c r="AQ91" s="38">
        <f t="shared" si="16"/>
        <v>-54437</v>
      </c>
      <c r="AR91" s="38"/>
      <c r="AS91" s="106" t="s">
        <v>163</v>
      </c>
      <c r="AT91" s="34"/>
      <c r="AU91" s="106" t="s">
        <v>163</v>
      </c>
      <c r="AV91" s="34"/>
      <c r="AW91" s="34">
        <f t="shared" si="17"/>
        <v>619321</v>
      </c>
      <c r="AX91" s="34"/>
      <c r="AY91" s="78" t="s">
        <v>80</v>
      </c>
      <c r="AZ91" s="34"/>
      <c r="BA91" s="34">
        <v>0</v>
      </c>
      <c r="BB91" s="34"/>
      <c r="BC91" s="34">
        <v>0</v>
      </c>
      <c r="BD91" s="34"/>
      <c r="BE91" s="34">
        <v>0</v>
      </c>
      <c r="BF91" s="34"/>
      <c r="BG91" s="34">
        <v>2250000</v>
      </c>
      <c r="BH91" s="34"/>
      <c r="BI91" s="34"/>
      <c r="BJ91" s="34"/>
      <c r="BK91" s="34">
        <f t="shared" si="10"/>
        <v>2250000</v>
      </c>
      <c r="BL91" s="8"/>
    </row>
    <row r="92" spans="1:68" ht="11.25" customHeight="1" hidden="1">
      <c r="A92" s="28" t="s">
        <v>81</v>
      </c>
      <c r="C92" s="37"/>
      <c r="D92" s="37"/>
      <c r="E92" s="37"/>
      <c r="F92" s="37"/>
      <c r="G92" s="37"/>
      <c r="H92" s="37"/>
      <c r="I92" s="96"/>
      <c r="J92" s="96"/>
      <c r="K92" s="96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>
        <f t="shared" si="9"/>
        <v>0</v>
      </c>
      <c r="X92" s="37"/>
      <c r="Y92" s="78" t="s">
        <v>81</v>
      </c>
      <c r="Z92" s="37"/>
      <c r="AA92" s="37" t="s">
        <v>165</v>
      </c>
      <c r="AB92" s="37"/>
      <c r="AC92" s="37" t="s">
        <v>165</v>
      </c>
      <c r="AD92" s="37"/>
      <c r="AE92" s="37" t="s">
        <v>165</v>
      </c>
      <c r="AF92" s="37"/>
      <c r="AG92" s="37" t="s">
        <v>165</v>
      </c>
      <c r="AH92" s="37"/>
      <c r="AI92" s="37" t="s">
        <v>165</v>
      </c>
      <c r="AJ92" s="37"/>
      <c r="AK92" s="37" t="s">
        <v>165</v>
      </c>
      <c r="AL92" s="37"/>
      <c r="AM92" s="37" t="s">
        <v>165</v>
      </c>
      <c r="AN92" s="37"/>
      <c r="AO92" s="37" t="s">
        <v>165</v>
      </c>
      <c r="AP92" s="37"/>
      <c r="AQ92" s="37" t="s">
        <v>165</v>
      </c>
      <c r="AR92" s="37"/>
      <c r="AS92" s="106" t="s">
        <v>163</v>
      </c>
      <c r="AT92" s="37"/>
      <c r="AU92" s="106" t="s">
        <v>163</v>
      </c>
      <c r="AV92" s="37"/>
      <c r="AW92" s="37" t="s">
        <v>165</v>
      </c>
      <c r="AX92" s="37"/>
      <c r="AY92" s="78" t="s">
        <v>81</v>
      </c>
      <c r="AZ92" s="37"/>
      <c r="BA92" s="37" t="s">
        <v>165</v>
      </c>
      <c r="BB92" s="37"/>
      <c r="BC92" s="37" t="s">
        <v>165</v>
      </c>
      <c r="BD92" s="37"/>
      <c r="BE92" s="37" t="s">
        <v>165</v>
      </c>
      <c r="BF92" s="37"/>
      <c r="BG92" s="37" t="s">
        <v>165</v>
      </c>
      <c r="BH92" s="37"/>
      <c r="BI92" s="37"/>
      <c r="BJ92" s="37"/>
      <c r="BK92" s="34">
        <f t="shared" si="10"/>
        <v>0</v>
      </c>
      <c r="BL92" s="8"/>
      <c r="BM92" s="8"/>
      <c r="BN92" s="8"/>
      <c r="BO92" s="8"/>
      <c r="BP92" s="8"/>
    </row>
    <row r="93" spans="1:64" ht="11.25" customHeight="1" hidden="1">
      <c r="A93" s="28" t="s">
        <v>82</v>
      </c>
      <c r="C93" s="37"/>
      <c r="D93" s="37"/>
      <c r="E93" s="37"/>
      <c r="F93" s="37"/>
      <c r="G93" s="37"/>
      <c r="H93" s="37"/>
      <c r="I93" s="96"/>
      <c r="J93" s="96"/>
      <c r="K93" s="96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>
        <f t="shared" si="9"/>
        <v>0</v>
      </c>
      <c r="X93" s="37"/>
      <c r="Y93" s="78" t="s">
        <v>82</v>
      </c>
      <c r="Z93" s="37"/>
      <c r="AA93" s="37" t="s">
        <v>165</v>
      </c>
      <c r="AB93" s="37"/>
      <c r="AC93" s="37" t="s">
        <v>165</v>
      </c>
      <c r="AD93" s="37"/>
      <c r="AE93" s="37" t="s">
        <v>165</v>
      </c>
      <c r="AF93" s="37"/>
      <c r="AG93" s="37" t="s">
        <v>165</v>
      </c>
      <c r="AH93" s="37"/>
      <c r="AI93" s="37" t="s">
        <v>165</v>
      </c>
      <c r="AJ93" s="37"/>
      <c r="AK93" s="37" t="s">
        <v>165</v>
      </c>
      <c r="AL93" s="37"/>
      <c r="AM93" s="37" t="s">
        <v>165</v>
      </c>
      <c r="AN93" s="37"/>
      <c r="AO93" s="37" t="s">
        <v>165</v>
      </c>
      <c r="AP93" s="37"/>
      <c r="AQ93" s="37" t="s">
        <v>165</v>
      </c>
      <c r="AR93" s="37"/>
      <c r="AS93" s="106" t="s">
        <v>163</v>
      </c>
      <c r="AT93" s="37"/>
      <c r="AU93" s="106" t="s">
        <v>163</v>
      </c>
      <c r="AV93" s="37"/>
      <c r="AW93" s="37" t="s">
        <v>165</v>
      </c>
      <c r="AX93" s="37"/>
      <c r="AY93" s="78" t="s">
        <v>82</v>
      </c>
      <c r="AZ93" s="37"/>
      <c r="BA93" s="37" t="s">
        <v>165</v>
      </c>
      <c r="BB93" s="37"/>
      <c r="BC93" s="37" t="s">
        <v>165</v>
      </c>
      <c r="BD93" s="37"/>
      <c r="BE93" s="37" t="s">
        <v>165</v>
      </c>
      <c r="BF93" s="37"/>
      <c r="BG93" s="37" t="s">
        <v>165</v>
      </c>
      <c r="BH93" s="37"/>
      <c r="BI93" s="37"/>
      <c r="BJ93" s="37"/>
      <c r="BK93" s="34">
        <f t="shared" si="10"/>
        <v>0</v>
      </c>
      <c r="BL93" s="8"/>
    </row>
    <row r="94" spans="1:64" ht="12">
      <c r="A94" s="28" t="s">
        <v>83</v>
      </c>
      <c r="C94" s="37">
        <f t="shared" si="11"/>
        <v>18614102</v>
      </c>
      <c r="D94" s="37"/>
      <c r="E94" s="37">
        <f>93702831-20768650</f>
        <v>72934181</v>
      </c>
      <c r="F94" s="37"/>
      <c r="G94" s="37">
        <v>91548283</v>
      </c>
      <c r="H94" s="37"/>
      <c r="I94" s="96">
        <f t="shared" si="12"/>
        <v>5810895</v>
      </c>
      <c r="J94" s="96"/>
      <c r="K94" s="96">
        <f t="shared" si="13"/>
        <v>9533788</v>
      </c>
      <c r="L94" s="37"/>
      <c r="M94" s="37">
        <v>15344683</v>
      </c>
      <c r="N94" s="37"/>
      <c r="O94" s="37">
        <v>0</v>
      </c>
      <c r="P94" s="37"/>
      <c r="Q94" s="37">
        <v>0</v>
      </c>
      <c r="R94" s="37"/>
      <c r="S94" s="37">
        <v>76203600</v>
      </c>
      <c r="T94" s="37"/>
      <c r="U94" s="37">
        <f t="shared" si="14"/>
        <v>76203600</v>
      </c>
      <c r="V94" s="37"/>
      <c r="W94" s="37">
        <f t="shared" si="9"/>
        <v>0</v>
      </c>
      <c r="X94" s="37"/>
      <c r="Y94" s="78" t="s">
        <v>83</v>
      </c>
      <c r="Z94" s="37"/>
      <c r="AA94" s="34">
        <v>6022397</v>
      </c>
      <c r="AB94" s="34"/>
      <c r="AC94" s="34">
        <f>6478848-2023104</f>
        <v>4455744</v>
      </c>
      <c r="AD94" s="34"/>
      <c r="AE94" s="34">
        <v>2023104</v>
      </c>
      <c r="AF94" s="34"/>
      <c r="AG94" s="38">
        <f t="shared" si="15"/>
        <v>-456451</v>
      </c>
      <c r="AH94" s="38"/>
      <c r="AI94" s="38">
        <v>6816132</v>
      </c>
      <c r="AJ94" s="38"/>
      <c r="AK94" s="34">
        <v>0</v>
      </c>
      <c r="AL94" s="34"/>
      <c r="AM94" s="34">
        <v>0</v>
      </c>
      <c r="AN94" s="34"/>
      <c r="AO94" s="34">
        <v>0</v>
      </c>
      <c r="AP94" s="34"/>
      <c r="AQ94" s="38">
        <f t="shared" si="16"/>
        <v>6359681</v>
      </c>
      <c r="AR94" s="38"/>
      <c r="AS94" s="106" t="s">
        <v>163</v>
      </c>
      <c r="AT94" s="34"/>
      <c r="AU94" s="106" t="s">
        <v>163</v>
      </c>
      <c r="AV94" s="34"/>
      <c r="AW94" s="34">
        <f t="shared" si="17"/>
        <v>12803207</v>
      </c>
      <c r="AX94" s="34"/>
      <c r="AY94" s="78" t="s">
        <v>83</v>
      </c>
      <c r="AZ94" s="34"/>
      <c r="BA94" s="34">
        <v>465000</v>
      </c>
      <c r="BB94" s="34"/>
      <c r="BC94" s="34">
        <v>7443131</v>
      </c>
      <c r="BD94" s="34"/>
      <c r="BE94" s="34">
        <v>1455575</v>
      </c>
      <c r="BF94" s="34"/>
      <c r="BG94" s="34">
        <f>170082</f>
        <v>170082</v>
      </c>
      <c r="BH94" s="34"/>
      <c r="BI94" s="34"/>
      <c r="BJ94" s="34"/>
      <c r="BK94" s="34">
        <f t="shared" si="10"/>
        <v>9533788</v>
      </c>
      <c r="BL94" s="8"/>
    </row>
    <row r="95" spans="1:68" ht="11.25" customHeight="1" hidden="1">
      <c r="A95" s="28" t="s">
        <v>84</v>
      </c>
      <c r="C95" s="37"/>
      <c r="D95" s="37"/>
      <c r="E95" s="37"/>
      <c r="F95" s="37"/>
      <c r="G95" s="37"/>
      <c r="H95" s="37"/>
      <c r="I95" s="96"/>
      <c r="J95" s="96"/>
      <c r="K95" s="96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>
        <f t="shared" si="9"/>
        <v>0</v>
      </c>
      <c r="X95" s="37"/>
      <c r="Y95" s="78" t="s">
        <v>84</v>
      </c>
      <c r="Z95" s="37"/>
      <c r="AA95" s="37" t="s">
        <v>165</v>
      </c>
      <c r="AB95" s="37"/>
      <c r="AC95" s="37" t="s">
        <v>165</v>
      </c>
      <c r="AD95" s="37"/>
      <c r="AE95" s="37" t="s">
        <v>165</v>
      </c>
      <c r="AF95" s="37"/>
      <c r="AG95" s="37" t="s">
        <v>165</v>
      </c>
      <c r="AH95" s="37"/>
      <c r="AI95" s="37" t="s">
        <v>165</v>
      </c>
      <c r="AJ95" s="37"/>
      <c r="AK95" s="37" t="s">
        <v>165</v>
      </c>
      <c r="AL95" s="37"/>
      <c r="AM95" s="37" t="s">
        <v>165</v>
      </c>
      <c r="AN95" s="37"/>
      <c r="AO95" s="37" t="s">
        <v>165</v>
      </c>
      <c r="AP95" s="37"/>
      <c r="AQ95" s="37" t="s">
        <v>165</v>
      </c>
      <c r="AR95" s="37"/>
      <c r="AS95" s="106" t="s">
        <v>163</v>
      </c>
      <c r="AT95" s="37"/>
      <c r="AU95" s="106" t="s">
        <v>163</v>
      </c>
      <c r="AV95" s="37"/>
      <c r="AW95" s="37" t="s">
        <v>165</v>
      </c>
      <c r="AX95" s="37"/>
      <c r="AY95" s="78" t="s">
        <v>84</v>
      </c>
      <c r="AZ95" s="37"/>
      <c r="BA95" s="37" t="s">
        <v>165</v>
      </c>
      <c r="BB95" s="37"/>
      <c r="BC95" s="37" t="s">
        <v>165</v>
      </c>
      <c r="BD95" s="37"/>
      <c r="BE95" s="37" t="s">
        <v>165</v>
      </c>
      <c r="BF95" s="37"/>
      <c r="BG95" s="37" t="s">
        <v>165</v>
      </c>
      <c r="BH95" s="37"/>
      <c r="BI95" s="37"/>
      <c r="BJ95" s="37"/>
      <c r="BK95" s="34">
        <f t="shared" si="10"/>
        <v>0</v>
      </c>
      <c r="BL95" s="8"/>
      <c r="BM95" s="8"/>
      <c r="BN95" s="8"/>
      <c r="BO95" s="8"/>
      <c r="BP95" s="8"/>
    </row>
    <row r="96" spans="1:64" ht="12">
      <c r="A96" s="28" t="s">
        <v>85</v>
      </c>
      <c r="C96" s="37">
        <f t="shared" si="11"/>
        <v>307794</v>
      </c>
      <c r="D96" s="37"/>
      <c r="E96" s="37">
        <v>1946689</v>
      </c>
      <c r="F96" s="37"/>
      <c r="G96" s="37">
        <v>2254483</v>
      </c>
      <c r="H96" s="37"/>
      <c r="I96" s="96">
        <f t="shared" si="12"/>
        <v>60846</v>
      </c>
      <c r="J96" s="96"/>
      <c r="K96" s="96">
        <f t="shared" si="13"/>
        <v>15878</v>
      </c>
      <c r="L96" s="37"/>
      <c r="M96" s="37">
        <v>76724</v>
      </c>
      <c r="N96" s="37"/>
      <c r="O96" s="37">
        <v>1946689</v>
      </c>
      <c r="P96" s="37"/>
      <c r="Q96" s="37">
        <v>0</v>
      </c>
      <c r="R96" s="37"/>
      <c r="S96" s="37">
        <v>231070</v>
      </c>
      <c r="T96" s="37"/>
      <c r="U96" s="37">
        <f t="shared" si="14"/>
        <v>2177759</v>
      </c>
      <c r="V96" s="37"/>
      <c r="W96" s="37">
        <f t="shared" si="9"/>
        <v>0</v>
      </c>
      <c r="X96" s="37"/>
      <c r="Y96" s="78" t="s">
        <v>85</v>
      </c>
      <c r="Z96" s="37"/>
      <c r="AA96" s="34">
        <v>265952</v>
      </c>
      <c r="AB96" s="34"/>
      <c r="AC96" s="34">
        <f>536520-48347</f>
        <v>488173</v>
      </c>
      <c r="AD96" s="34"/>
      <c r="AE96" s="34">
        <v>48347</v>
      </c>
      <c r="AF96" s="34"/>
      <c r="AG96" s="38">
        <f t="shared" si="15"/>
        <v>-270568</v>
      </c>
      <c r="AH96" s="38"/>
      <c r="AI96" s="38">
        <v>0</v>
      </c>
      <c r="AJ96" s="38"/>
      <c r="AK96" s="34">
        <v>130000</v>
      </c>
      <c r="AL96" s="34"/>
      <c r="AM96" s="34">
        <v>0</v>
      </c>
      <c r="AN96" s="34"/>
      <c r="AO96" s="34">
        <v>134696</v>
      </c>
      <c r="AP96" s="34"/>
      <c r="AQ96" s="38">
        <f t="shared" si="16"/>
        <v>-5872</v>
      </c>
      <c r="AR96" s="38"/>
      <c r="AS96" s="106" t="s">
        <v>163</v>
      </c>
      <c r="AT96" s="34"/>
      <c r="AU96" s="106" t="s">
        <v>163</v>
      </c>
      <c r="AV96" s="34"/>
      <c r="AW96" s="34">
        <f t="shared" si="17"/>
        <v>246948</v>
      </c>
      <c r="AX96" s="34"/>
      <c r="AY96" s="78" t="s">
        <v>85</v>
      </c>
      <c r="AZ96" s="34"/>
      <c r="BA96" s="34">
        <v>0</v>
      </c>
      <c r="BB96" s="34"/>
      <c r="BC96" s="34">
        <v>0</v>
      </c>
      <c r="BD96" s="34"/>
      <c r="BE96" s="34">
        <v>0</v>
      </c>
      <c r="BF96" s="34"/>
      <c r="BG96" s="34">
        <v>15878</v>
      </c>
      <c r="BH96" s="34"/>
      <c r="BI96" s="34"/>
      <c r="BJ96" s="34"/>
      <c r="BK96" s="34">
        <f t="shared" si="10"/>
        <v>15878</v>
      </c>
      <c r="BL96" s="8"/>
    </row>
    <row r="97" spans="1:64" ht="11.25" customHeight="1" hidden="1">
      <c r="A97" s="28" t="s">
        <v>184</v>
      </c>
      <c r="C97" s="37"/>
      <c r="D97" s="37"/>
      <c r="E97" s="37"/>
      <c r="F97" s="37"/>
      <c r="G97" s="37"/>
      <c r="H97" s="37"/>
      <c r="I97" s="96"/>
      <c r="J97" s="96"/>
      <c r="K97" s="96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>
        <f t="shared" si="9"/>
        <v>0</v>
      </c>
      <c r="X97" s="37"/>
      <c r="Y97" s="28" t="s">
        <v>184</v>
      </c>
      <c r="Z97" s="37"/>
      <c r="AA97" s="37" t="s">
        <v>165</v>
      </c>
      <c r="AB97" s="37"/>
      <c r="AC97" s="37" t="s">
        <v>165</v>
      </c>
      <c r="AD97" s="37"/>
      <c r="AE97" s="37" t="s">
        <v>165</v>
      </c>
      <c r="AF97" s="37"/>
      <c r="AG97" s="37" t="s">
        <v>165</v>
      </c>
      <c r="AH97" s="37"/>
      <c r="AI97" s="37" t="s">
        <v>165</v>
      </c>
      <c r="AJ97" s="37"/>
      <c r="AK97" s="37" t="s">
        <v>165</v>
      </c>
      <c r="AL97" s="37"/>
      <c r="AM97" s="37" t="s">
        <v>165</v>
      </c>
      <c r="AN97" s="37"/>
      <c r="AO97" s="37" t="s">
        <v>165</v>
      </c>
      <c r="AP97" s="37"/>
      <c r="AQ97" s="37" t="s">
        <v>165</v>
      </c>
      <c r="AR97" s="37"/>
      <c r="AS97" s="37" t="s">
        <v>165</v>
      </c>
      <c r="AT97" s="37"/>
      <c r="AU97" s="37" t="s">
        <v>165</v>
      </c>
      <c r="AV97" s="37"/>
      <c r="AW97" s="37" t="s">
        <v>165</v>
      </c>
      <c r="AX97" s="37"/>
      <c r="AY97" s="28" t="s">
        <v>184</v>
      </c>
      <c r="AZ97" s="37"/>
      <c r="BA97" s="37" t="s">
        <v>165</v>
      </c>
      <c r="BB97" s="37"/>
      <c r="BC97" s="37" t="s">
        <v>165</v>
      </c>
      <c r="BD97" s="37"/>
      <c r="BE97" s="37" t="s">
        <v>165</v>
      </c>
      <c r="BF97" s="37"/>
      <c r="BG97" s="37" t="s">
        <v>165</v>
      </c>
      <c r="BH97" s="37"/>
      <c r="BI97" s="37"/>
      <c r="BJ97" s="37"/>
      <c r="BK97" s="34">
        <f t="shared" si="10"/>
        <v>0</v>
      </c>
      <c r="BL97" s="8"/>
    </row>
    <row r="98" spans="1:64" ht="11.25" customHeight="1" hidden="1">
      <c r="A98" s="28" t="s">
        <v>86</v>
      </c>
      <c r="C98" s="37"/>
      <c r="D98" s="37"/>
      <c r="E98" s="37"/>
      <c r="F98" s="37"/>
      <c r="G98" s="37"/>
      <c r="H98" s="37"/>
      <c r="I98" s="96"/>
      <c r="J98" s="96"/>
      <c r="K98" s="96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f t="shared" si="9"/>
        <v>0</v>
      </c>
      <c r="X98" s="37"/>
      <c r="Y98" s="28" t="s">
        <v>86</v>
      </c>
      <c r="Z98" s="37"/>
      <c r="AA98" s="37" t="s">
        <v>165</v>
      </c>
      <c r="AB98" s="37"/>
      <c r="AC98" s="37" t="s">
        <v>165</v>
      </c>
      <c r="AD98" s="37"/>
      <c r="AE98" s="37" t="s">
        <v>165</v>
      </c>
      <c r="AF98" s="37"/>
      <c r="AG98" s="37" t="s">
        <v>165</v>
      </c>
      <c r="AH98" s="37"/>
      <c r="AI98" s="37" t="s">
        <v>165</v>
      </c>
      <c r="AJ98" s="37"/>
      <c r="AK98" s="37" t="s">
        <v>165</v>
      </c>
      <c r="AL98" s="37"/>
      <c r="AM98" s="37" t="s">
        <v>165</v>
      </c>
      <c r="AN98" s="37"/>
      <c r="AO98" s="37" t="s">
        <v>165</v>
      </c>
      <c r="AP98" s="37"/>
      <c r="AQ98" s="37" t="s">
        <v>165</v>
      </c>
      <c r="AR98" s="37"/>
      <c r="AS98" s="37" t="s">
        <v>165</v>
      </c>
      <c r="AT98" s="37"/>
      <c r="AU98" s="37" t="s">
        <v>165</v>
      </c>
      <c r="AV98" s="37"/>
      <c r="AW98" s="37" t="s">
        <v>165</v>
      </c>
      <c r="AX98" s="37"/>
      <c r="AY98" s="28" t="s">
        <v>86</v>
      </c>
      <c r="AZ98" s="37"/>
      <c r="BA98" s="37" t="s">
        <v>165</v>
      </c>
      <c r="BB98" s="37"/>
      <c r="BC98" s="37" t="s">
        <v>165</v>
      </c>
      <c r="BD98" s="37"/>
      <c r="BE98" s="37" t="s">
        <v>165</v>
      </c>
      <c r="BF98" s="37"/>
      <c r="BG98" s="37" t="s">
        <v>165</v>
      </c>
      <c r="BH98" s="37"/>
      <c r="BI98" s="37"/>
      <c r="BJ98" s="37"/>
      <c r="BK98" s="34">
        <f t="shared" si="10"/>
        <v>0</v>
      </c>
      <c r="BL98" s="8"/>
    </row>
    <row r="99" spans="1:64" ht="11.25" customHeight="1" hidden="1">
      <c r="A99" s="28" t="s">
        <v>185</v>
      </c>
      <c r="C99" s="37"/>
      <c r="D99" s="37"/>
      <c r="E99" s="37"/>
      <c r="F99" s="37"/>
      <c r="G99" s="37"/>
      <c r="H99" s="37"/>
      <c r="I99" s="96"/>
      <c r="J99" s="96"/>
      <c r="K99" s="96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>
        <f t="shared" si="9"/>
        <v>0</v>
      </c>
      <c r="X99" s="37"/>
      <c r="Y99" s="28" t="s">
        <v>185</v>
      </c>
      <c r="Z99" s="37"/>
      <c r="AA99" s="37" t="s">
        <v>165</v>
      </c>
      <c r="AB99" s="37"/>
      <c r="AC99" s="37" t="s">
        <v>165</v>
      </c>
      <c r="AD99" s="37"/>
      <c r="AE99" s="37" t="s">
        <v>165</v>
      </c>
      <c r="AF99" s="37"/>
      <c r="AG99" s="37" t="s">
        <v>165</v>
      </c>
      <c r="AH99" s="37"/>
      <c r="AI99" s="37" t="s">
        <v>165</v>
      </c>
      <c r="AJ99" s="37"/>
      <c r="AK99" s="37" t="s">
        <v>165</v>
      </c>
      <c r="AL99" s="37"/>
      <c r="AM99" s="37" t="s">
        <v>165</v>
      </c>
      <c r="AN99" s="37"/>
      <c r="AO99" s="37" t="s">
        <v>165</v>
      </c>
      <c r="AP99" s="37"/>
      <c r="AQ99" s="37" t="s">
        <v>165</v>
      </c>
      <c r="AR99" s="37"/>
      <c r="AS99" s="37" t="s">
        <v>165</v>
      </c>
      <c r="AT99" s="37"/>
      <c r="AU99" s="37" t="s">
        <v>165</v>
      </c>
      <c r="AV99" s="37"/>
      <c r="AW99" s="37" t="s">
        <v>165</v>
      </c>
      <c r="AX99" s="37"/>
      <c r="AY99" s="28" t="s">
        <v>185</v>
      </c>
      <c r="AZ99" s="37"/>
      <c r="BA99" s="37" t="s">
        <v>165</v>
      </c>
      <c r="BB99" s="37"/>
      <c r="BC99" s="37" t="s">
        <v>165</v>
      </c>
      <c r="BD99" s="37"/>
      <c r="BE99" s="37" t="s">
        <v>165</v>
      </c>
      <c r="BF99" s="37"/>
      <c r="BG99" s="37" t="s">
        <v>165</v>
      </c>
      <c r="BH99" s="37"/>
      <c r="BI99" s="37"/>
      <c r="BJ99" s="37"/>
      <c r="BK99" s="34">
        <f t="shared" si="10"/>
        <v>0</v>
      </c>
      <c r="BL99" s="8"/>
    </row>
    <row r="100" spans="3:64" ht="12">
      <c r="C100" s="20"/>
      <c r="D100" s="20"/>
      <c r="E100" s="20"/>
      <c r="F100" s="20"/>
      <c r="G100" s="20"/>
      <c r="H100" s="20"/>
      <c r="I100" s="103"/>
      <c r="J100" s="103"/>
      <c r="K100" s="103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Z100" s="20"/>
      <c r="AA100" s="20"/>
      <c r="AB100" s="20"/>
      <c r="AC100" s="10"/>
      <c r="AD100" s="10"/>
      <c r="AE100" s="10"/>
      <c r="AF100" s="10"/>
      <c r="AG100" s="14"/>
      <c r="AH100" s="14"/>
      <c r="AI100" s="14"/>
      <c r="AJ100" s="14"/>
      <c r="AK100" s="14"/>
      <c r="AL100" s="14"/>
      <c r="AM100" s="14"/>
      <c r="AN100" s="14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3:64" ht="12">
      <c r="C101" s="20"/>
      <c r="D101" s="20"/>
      <c r="E101" s="20"/>
      <c r="F101" s="20"/>
      <c r="G101" s="20"/>
      <c r="H101" s="20"/>
      <c r="I101" s="103"/>
      <c r="J101" s="103"/>
      <c r="K101" s="10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10"/>
      <c r="AD101" s="10"/>
      <c r="AE101" s="10"/>
      <c r="AF101" s="10"/>
      <c r="AG101" s="14"/>
      <c r="AH101" s="14"/>
      <c r="AI101" s="14"/>
      <c r="AJ101" s="14"/>
      <c r="AK101" s="14"/>
      <c r="AL101" s="14"/>
      <c r="AM101" s="14"/>
      <c r="AN101" s="14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20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3:64" ht="12">
      <c r="C102" s="20"/>
      <c r="D102" s="20"/>
      <c r="E102" s="20"/>
      <c r="F102" s="20"/>
      <c r="G102" s="20"/>
      <c r="H102" s="20"/>
      <c r="I102" s="103"/>
      <c r="J102" s="103"/>
      <c r="K102" s="103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10"/>
      <c r="AD102" s="10"/>
      <c r="AE102" s="10"/>
      <c r="AF102" s="10"/>
      <c r="AG102" s="14"/>
      <c r="AH102" s="14"/>
      <c r="AI102" s="14"/>
      <c r="AJ102" s="14"/>
      <c r="AK102" s="14"/>
      <c r="AL102" s="14"/>
      <c r="AM102" s="14"/>
      <c r="AN102" s="14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20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3:64" ht="12">
      <c r="C103" s="20"/>
      <c r="D103" s="20"/>
      <c r="E103" s="20"/>
      <c r="F103" s="20"/>
      <c r="G103" s="20"/>
      <c r="H103" s="20"/>
      <c r="I103" s="103"/>
      <c r="J103" s="103"/>
      <c r="K103" s="103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10"/>
      <c r="AD103" s="10"/>
      <c r="AE103" s="10"/>
      <c r="AF103" s="10"/>
      <c r="AG103" s="14"/>
      <c r="AH103" s="14"/>
      <c r="AI103" s="14"/>
      <c r="AJ103" s="14"/>
      <c r="AK103" s="14"/>
      <c r="AL103" s="14"/>
      <c r="AM103" s="14"/>
      <c r="AN103" s="14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20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3:64" ht="12">
      <c r="C104" s="20"/>
      <c r="D104" s="20"/>
      <c r="E104" s="20"/>
      <c r="F104" s="20"/>
      <c r="G104" s="20"/>
      <c r="H104" s="20"/>
      <c r="I104" s="103"/>
      <c r="J104" s="103"/>
      <c r="K104" s="103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10"/>
      <c r="AD104" s="10"/>
      <c r="AE104" s="10"/>
      <c r="AF104" s="10"/>
      <c r="AG104" s="14"/>
      <c r="AH104" s="14"/>
      <c r="AI104" s="14"/>
      <c r="AJ104" s="14"/>
      <c r="AK104" s="14"/>
      <c r="AL104" s="14"/>
      <c r="AM104" s="14"/>
      <c r="AN104" s="14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20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3:64" ht="12">
      <c r="C105" s="20"/>
      <c r="D105" s="20"/>
      <c r="E105" s="20"/>
      <c r="F105" s="20"/>
      <c r="G105" s="20"/>
      <c r="H105" s="20"/>
      <c r="I105" s="103"/>
      <c r="J105" s="103"/>
      <c r="K105" s="10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0"/>
      <c r="AD105" s="10"/>
      <c r="AE105" s="10"/>
      <c r="AF105" s="10"/>
      <c r="AG105" s="14"/>
      <c r="AH105" s="14"/>
      <c r="AI105" s="14"/>
      <c r="AJ105" s="14"/>
      <c r="AK105" s="14"/>
      <c r="AL105" s="14"/>
      <c r="AM105" s="14"/>
      <c r="AN105" s="14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20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3:64" ht="12">
      <c r="C106" s="20"/>
      <c r="D106" s="20"/>
      <c r="E106" s="20"/>
      <c r="F106" s="20"/>
      <c r="G106" s="20"/>
      <c r="H106" s="20"/>
      <c r="I106" s="103"/>
      <c r="J106" s="103"/>
      <c r="K106" s="103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10"/>
      <c r="AD106" s="10"/>
      <c r="AE106" s="10"/>
      <c r="AF106" s="10"/>
      <c r="AG106" s="14"/>
      <c r="AH106" s="14"/>
      <c r="AI106" s="14"/>
      <c r="AJ106" s="14"/>
      <c r="AK106" s="14"/>
      <c r="AL106" s="14"/>
      <c r="AM106" s="14"/>
      <c r="AN106" s="14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20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3:64" ht="12">
      <c r="C107" s="20"/>
      <c r="D107" s="20"/>
      <c r="E107" s="20"/>
      <c r="F107" s="20"/>
      <c r="G107" s="20"/>
      <c r="H107" s="20"/>
      <c r="I107" s="103"/>
      <c r="J107" s="103"/>
      <c r="K107" s="103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10"/>
      <c r="AD107" s="10"/>
      <c r="AE107" s="10"/>
      <c r="AF107" s="10"/>
      <c r="AG107" s="14"/>
      <c r="AH107" s="14"/>
      <c r="AI107" s="14"/>
      <c r="AJ107" s="14"/>
      <c r="AK107" s="14"/>
      <c r="AL107" s="14"/>
      <c r="AM107" s="14"/>
      <c r="AN107" s="14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20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3:64" ht="12">
      <c r="C108" s="20"/>
      <c r="D108" s="20"/>
      <c r="E108" s="20"/>
      <c r="F108" s="20"/>
      <c r="G108" s="20"/>
      <c r="H108" s="20"/>
      <c r="I108" s="103"/>
      <c r="J108" s="103"/>
      <c r="K108" s="103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10"/>
      <c r="AD108" s="10"/>
      <c r="AE108" s="10"/>
      <c r="AF108" s="10"/>
      <c r="AG108" s="14"/>
      <c r="AH108" s="14"/>
      <c r="AI108" s="14"/>
      <c r="AJ108" s="14"/>
      <c r="AK108" s="14"/>
      <c r="AL108" s="14"/>
      <c r="AM108" s="14"/>
      <c r="AN108" s="14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20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3:64" ht="12">
      <c r="C109" s="20"/>
      <c r="D109" s="20"/>
      <c r="E109" s="20"/>
      <c r="F109" s="20"/>
      <c r="G109" s="20"/>
      <c r="H109" s="20"/>
      <c r="I109" s="103"/>
      <c r="J109" s="103"/>
      <c r="K109" s="103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10"/>
      <c r="AD109" s="10"/>
      <c r="AE109" s="10"/>
      <c r="AF109" s="10"/>
      <c r="AG109" s="14"/>
      <c r="AH109" s="14"/>
      <c r="AI109" s="14"/>
      <c r="AJ109" s="14"/>
      <c r="AK109" s="14"/>
      <c r="AL109" s="14"/>
      <c r="AM109" s="14"/>
      <c r="AN109" s="14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20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3:64" ht="12">
      <c r="C110" s="20"/>
      <c r="D110" s="20"/>
      <c r="E110" s="20"/>
      <c r="F110" s="20"/>
      <c r="G110" s="20"/>
      <c r="H110" s="20"/>
      <c r="I110" s="103"/>
      <c r="J110" s="103"/>
      <c r="K110" s="10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0"/>
      <c r="AD110" s="10"/>
      <c r="AE110" s="10"/>
      <c r="AF110" s="10"/>
      <c r="AG110" s="14"/>
      <c r="AH110" s="14"/>
      <c r="AI110" s="14"/>
      <c r="AJ110" s="14"/>
      <c r="AK110" s="14"/>
      <c r="AL110" s="14"/>
      <c r="AM110" s="14"/>
      <c r="AN110" s="14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20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3:64" ht="12">
      <c r="C111" s="20"/>
      <c r="D111" s="20"/>
      <c r="E111" s="20"/>
      <c r="F111" s="20"/>
      <c r="G111" s="20"/>
      <c r="H111" s="20"/>
      <c r="I111" s="103"/>
      <c r="J111" s="103"/>
      <c r="K111" s="103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10"/>
      <c r="AD111" s="10"/>
      <c r="AE111" s="10"/>
      <c r="AF111" s="10"/>
      <c r="AG111" s="14"/>
      <c r="AH111" s="14"/>
      <c r="AI111" s="14"/>
      <c r="AJ111" s="14"/>
      <c r="AK111" s="14"/>
      <c r="AL111" s="14"/>
      <c r="AM111" s="14"/>
      <c r="AN111" s="14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20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3:64" ht="12">
      <c r="C112" s="20"/>
      <c r="D112" s="20"/>
      <c r="E112" s="20"/>
      <c r="F112" s="20"/>
      <c r="G112" s="20"/>
      <c r="H112" s="20"/>
      <c r="I112" s="103"/>
      <c r="J112" s="103"/>
      <c r="K112" s="103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10"/>
      <c r="AD112" s="10"/>
      <c r="AE112" s="10"/>
      <c r="AF112" s="10"/>
      <c r="AG112" s="14"/>
      <c r="AH112" s="14"/>
      <c r="AI112" s="14"/>
      <c r="AJ112" s="14"/>
      <c r="AK112" s="14"/>
      <c r="AL112" s="14"/>
      <c r="AM112" s="14"/>
      <c r="AN112" s="14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20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3:64" ht="12">
      <c r="C113" s="20"/>
      <c r="D113" s="20"/>
      <c r="E113" s="20"/>
      <c r="F113" s="20"/>
      <c r="G113" s="20"/>
      <c r="H113" s="20"/>
      <c r="I113" s="103"/>
      <c r="J113" s="103"/>
      <c r="K113" s="103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10"/>
      <c r="AD113" s="10"/>
      <c r="AE113" s="10"/>
      <c r="AF113" s="10"/>
      <c r="AG113" s="14"/>
      <c r="AH113" s="14"/>
      <c r="AI113" s="14"/>
      <c r="AJ113" s="14"/>
      <c r="AK113" s="14"/>
      <c r="AL113" s="14"/>
      <c r="AM113" s="14"/>
      <c r="AN113" s="14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20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3:64" ht="12">
      <c r="C114" s="20"/>
      <c r="D114" s="20"/>
      <c r="E114" s="20"/>
      <c r="F114" s="20"/>
      <c r="G114" s="20"/>
      <c r="H114" s="20"/>
      <c r="I114" s="103"/>
      <c r="J114" s="103"/>
      <c r="K114" s="103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10"/>
      <c r="AD114" s="10"/>
      <c r="AE114" s="10"/>
      <c r="AF114" s="10"/>
      <c r="AG114" s="14"/>
      <c r="AH114" s="14"/>
      <c r="AI114" s="14"/>
      <c r="AJ114" s="14"/>
      <c r="AK114" s="14"/>
      <c r="AL114" s="14"/>
      <c r="AM114" s="14"/>
      <c r="AN114" s="14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20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3:64" ht="12">
      <c r="C115" s="20"/>
      <c r="D115" s="20"/>
      <c r="E115" s="20"/>
      <c r="F115" s="20"/>
      <c r="G115" s="20"/>
      <c r="H115" s="20"/>
      <c r="I115" s="103"/>
      <c r="J115" s="103"/>
      <c r="K115" s="103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10"/>
      <c r="AD115" s="10"/>
      <c r="AE115" s="10"/>
      <c r="AF115" s="10"/>
      <c r="AG115" s="14"/>
      <c r="AH115" s="14"/>
      <c r="AI115" s="14"/>
      <c r="AJ115" s="14"/>
      <c r="AK115" s="14"/>
      <c r="AL115" s="14"/>
      <c r="AM115" s="14"/>
      <c r="AN115" s="14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20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3:64" ht="12">
      <c r="C116" s="20"/>
      <c r="D116" s="20"/>
      <c r="E116" s="20"/>
      <c r="F116" s="20"/>
      <c r="G116" s="20"/>
      <c r="H116" s="20"/>
      <c r="I116" s="103"/>
      <c r="J116" s="103"/>
      <c r="K116" s="103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10"/>
      <c r="AD116" s="10"/>
      <c r="AE116" s="10"/>
      <c r="AF116" s="10"/>
      <c r="AG116" s="14"/>
      <c r="AH116" s="14"/>
      <c r="AI116" s="14"/>
      <c r="AJ116" s="14"/>
      <c r="AK116" s="14"/>
      <c r="AL116" s="14"/>
      <c r="AM116" s="14"/>
      <c r="AN116" s="14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20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</sheetData>
  <mergeCells count="4">
    <mergeCell ref="Y1:AA1"/>
    <mergeCell ref="A2:H2"/>
    <mergeCell ref="AY2:BB2"/>
    <mergeCell ref="O7:S7"/>
  </mergeCells>
  <printOptions/>
  <pageMargins left="1" right="1" top="0.5" bottom="0.5" header="0" footer="0.25"/>
  <pageSetup firstPageNumber="36" useFirstPageNumber="1" horizontalDpi="600" verticalDpi="600" orientation="portrait" scale="90" r:id="rId1"/>
  <headerFooter alignWithMargins="0">
    <oddFooter>&amp;C&amp;"Times New Roman,Regular"&amp;11&amp;P</oddFooter>
  </headerFooter>
  <colBreaks count="2" manualBreakCount="2">
    <brk id="21" max="65535" man="1"/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114"/>
  <sheetViews>
    <sheetView zoomScaleSheetLayoutView="100" workbookViewId="0" topLeftCell="AD1">
      <selection activeCell="AS6" sqref="AS6"/>
    </sheetView>
  </sheetViews>
  <sheetFormatPr defaultColWidth="9.140625" defaultRowHeight="12.75"/>
  <cols>
    <col min="1" max="1" width="11.7109375" style="28" customWidth="1"/>
    <col min="2" max="2" width="1.7109375" style="28" customWidth="1"/>
    <col min="3" max="3" width="11.7109375" style="28" customWidth="1"/>
    <col min="4" max="4" width="1.7109375" style="28" customWidth="1"/>
    <col min="5" max="5" width="11.7109375" style="28" customWidth="1"/>
    <col min="6" max="6" width="1.7109375" style="28" customWidth="1"/>
    <col min="7" max="7" width="11.7109375" style="28" customWidth="1"/>
    <col min="8" max="8" width="1.7109375" style="28" customWidth="1"/>
    <col min="9" max="9" width="11.7109375" style="28" customWidth="1"/>
    <col min="10" max="10" width="1.7109375" style="28" customWidth="1"/>
    <col min="11" max="11" width="11.7109375" style="28" customWidth="1"/>
    <col min="12" max="12" width="1.7109375" style="28" customWidth="1"/>
    <col min="13" max="13" width="11.7109375" style="28" customWidth="1"/>
    <col min="14" max="14" width="1.7109375" style="28" customWidth="1"/>
    <col min="15" max="15" width="11.7109375" style="28" customWidth="1"/>
    <col min="16" max="16" width="1.7109375" style="28" customWidth="1"/>
    <col min="17" max="17" width="11.7109375" style="28" customWidth="1"/>
    <col min="18" max="18" width="1.7109375" style="28" customWidth="1"/>
    <col min="19" max="19" width="11.7109375" style="28" customWidth="1"/>
    <col min="20" max="20" width="1.7109375" style="28" customWidth="1"/>
    <col min="21" max="21" width="11.7109375" style="28" customWidth="1"/>
    <col min="22" max="22" width="1.7109375" style="28" customWidth="1"/>
    <col min="23" max="23" width="11.7109375" style="28" customWidth="1"/>
    <col min="24" max="24" width="1.7109375" style="28" customWidth="1"/>
    <col min="25" max="25" width="9.7109375" style="28" customWidth="1"/>
    <col min="26" max="26" width="1.7109375" style="28" customWidth="1"/>
    <col min="27" max="27" width="10.7109375" style="28" customWidth="1"/>
    <col min="28" max="28" width="1.7109375" style="28" customWidth="1"/>
    <col min="29" max="29" width="10.7109375" style="28" customWidth="1"/>
    <col min="30" max="30" width="1.7109375" style="28" customWidth="1"/>
    <col min="31" max="31" width="10.7109375" style="26" customWidth="1"/>
    <col min="32" max="32" width="1.7109375" style="26" customWidth="1"/>
    <col min="33" max="33" width="11.7109375" style="26" customWidth="1"/>
    <col min="34" max="34" width="1.7109375" style="26" customWidth="1"/>
    <col min="35" max="35" width="10.7109375" style="26" customWidth="1"/>
    <col min="36" max="36" width="1.7109375" style="26" customWidth="1"/>
    <col min="37" max="37" width="10.7109375" style="26" customWidth="1"/>
    <col min="38" max="38" width="1.7109375" style="26" customWidth="1"/>
    <col min="39" max="39" width="10.7109375" style="28" customWidth="1"/>
    <col min="40" max="40" width="1.7109375" style="28" customWidth="1"/>
    <col min="41" max="41" width="10.7109375" style="28" customWidth="1"/>
    <col min="42" max="42" width="1.7109375" style="28" customWidth="1"/>
    <col min="43" max="43" width="9.7109375" style="28" customWidth="1"/>
    <col min="44" max="44" width="1.7109375" style="28" customWidth="1"/>
    <col min="45" max="45" width="10.7109375" style="28" customWidth="1"/>
    <col min="46" max="46" width="1.7109375" style="28" customWidth="1"/>
    <col min="47" max="47" width="10.7109375" style="28" customWidth="1"/>
    <col min="48" max="48" width="1.7109375" style="28" customWidth="1"/>
    <col min="49" max="49" width="11.7109375" style="28" customWidth="1"/>
    <col min="50" max="50" width="1.7109375" style="28" customWidth="1"/>
    <col min="51" max="51" width="11.7109375" style="28" customWidth="1"/>
    <col min="52" max="52" width="1.7109375" style="28" customWidth="1"/>
    <col min="53" max="53" width="11.7109375" style="28" customWidth="1"/>
    <col min="54" max="54" width="1.7109375" style="28" customWidth="1"/>
    <col min="55" max="55" width="11.7109375" style="28" customWidth="1"/>
    <col min="56" max="56" width="1.7109375" style="28" customWidth="1"/>
    <col min="57" max="57" width="11.7109375" style="28" customWidth="1"/>
    <col min="58" max="58" width="1.7109375" style="28" customWidth="1"/>
    <col min="59" max="59" width="11.7109375" style="28" customWidth="1"/>
    <col min="60" max="16384" width="8.421875" style="28" customWidth="1"/>
  </cols>
  <sheetData>
    <row r="1" spans="1:60" s="88" customFormat="1" ht="12">
      <c r="A1" s="25" t="s">
        <v>213</v>
      </c>
      <c r="B1" s="7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23" t="s">
        <v>210</v>
      </c>
      <c r="X1" s="123"/>
      <c r="Y1" s="123"/>
      <c r="Z1" s="7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25" t="s">
        <v>210</v>
      </c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s="88" customFormat="1" ht="12">
      <c r="A2" s="25" t="s">
        <v>228</v>
      </c>
      <c r="B2" s="7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5" t="s">
        <v>235</v>
      </c>
      <c r="X2" s="25"/>
      <c r="Y2" s="25"/>
      <c r="Z2" s="25"/>
      <c r="AA2" s="25"/>
      <c r="AB2" s="25"/>
      <c r="AC2" s="25"/>
      <c r="AD2" s="25"/>
      <c r="AE2" s="25"/>
      <c r="AF2" s="25"/>
      <c r="AG2" s="19"/>
      <c r="AH2" s="19"/>
      <c r="AI2" s="14"/>
      <c r="AJ2" s="14"/>
      <c r="AK2" s="14"/>
      <c r="AL2" s="14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25" t="s">
        <v>104</v>
      </c>
      <c r="AX2" s="93"/>
      <c r="AY2" s="93"/>
      <c r="AZ2" s="93"/>
      <c r="BA2" s="93"/>
      <c r="BB2" s="18"/>
      <c r="BC2" s="18"/>
      <c r="BD2" s="18"/>
      <c r="BE2" s="18"/>
      <c r="BF2" s="18"/>
      <c r="BG2" s="18"/>
      <c r="BH2" s="18"/>
    </row>
    <row r="3" spans="1:60" s="88" customFormat="1" ht="12">
      <c r="A3" s="17" t="s">
        <v>211</v>
      </c>
      <c r="B3" s="7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7" t="s">
        <v>154</v>
      </c>
      <c r="X3" s="17"/>
      <c r="Y3" s="17"/>
      <c r="Z3" s="17"/>
      <c r="AA3" s="19"/>
      <c r="AB3" s="1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7" t="s">
        <v>211</v>
      </c>
      <c r="AX3" s="17"/>
      <c r="AY3" s="17"/>
      <c r="AZ3" s="17"/>
      <c r="BA3" s="92"/>
      <c r="BB3" s="18"/>
      <c r="BC3" s="18"/>
      <c r="BD3" s="18"/>
      <c r="BE3" s="18"/>
      <c r="BF3" s="18"/>
      <c r="BG3" s="18"/>
      <c r="BH3" s="18"/>
    </row>
    <row r="4" spans="1:60" ht="12">
      <c r="A4" s="27"/>
      <c r="B4" s="71"/>
      <c r="C4" s="71"/>
      <c r="D4" s="71"/>
      <c r="E4" s="71"/>
      <c r="F4" s="71"/>
      <c r="G4" s="71"/>
      <c r="H4" s="7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76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8"/>
      <c r="AN4" s="8"/>
      <c r="AO4" s="8"/>
      <c r="AP4" s="8"/>
      <c r="AQ4" s="8"/>
      <c r="AR4" s="8"/>
      <c r="AS4" s="8"/>
      <c r="AT4" s="8"/>
      <c r="AU4" s="8"/>
      <c r="AV4" s="8"/>
      <c r="AW4" s="2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12">
      <c r="A5" s="6" t="s">
        <v>197</v>
      </c>
      <c r="B5" s="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6" t="s">
        <v>197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6" t="s">
        <v>197</v>
      </c>
      <c r="AX5" s="32"/>
      <c r="BF5" s="49"/>
      <c r="BG5" s="34"/>
      <c r="BH5" s="8"/>
    </row>
    <row r="6" spans="1:60" ht="12">
      <c r="A6" s="6"/>
      <c r="B6" s="5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6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6"/>
      <c r="AX6" s="32"/>
      <c r="BF6" s="49"/>
      <c r="BG6" s="34"/>
      <c r="BH6" s="8"/>
    </row>
    <row r="7" spans="1:60" ht="12">
      <c r="A7" s="6"/>
      <c r="B7" s="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19"/>
      <c r="P7" s="119"/>
      <c r="Q7" s="119"/>
      <c r="R7" s="119"/>
      <c r="S7" s="119"/>
      <c r="T7" s="49"/>
      <c r="U7" s="49"/>
      <c r="V7" s="32"/>
      <c r="W7" s="6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6"/>
      <c r="AX7" s="32"/>
      <c r="AY7" s="107"/>
      <c r="AZ7" s="107"/>
      <c r="BA7" s="107"/>
      <c r="BB7" s="107"/>
      <c r="BC7" s="107"/>
      <c r="BD7" s="107"/>
      <c r="BE7" s="49"/>
      <c r="BF7" s="49"/>
      <c r="BG7" s="34"/>
      <c r="BH7" s="8"/>
    </row>
    <row r="8" spans="1:60" ht="12">
      <c r="A8" s="6"/>
      <c r="B8" s="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V8" s="32"/>
      <c r="W8" s="6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6" t="s">
        <v>231</v>
      </c>
      <c r="AR8" s="32"/>
      <c r="AS8" s="36" t="s">
        <v>233</v>
      </c>
      <c r="AT8" s="32"/>
      <c r="AU8" s="32"/>
      <c r="AV8" s="32"/>
      <c r="AW8" s="6"/>
      <c r="AX8" s="32"/>
      <c r="BF8" s="49"/>
      <c r="BG8" s="34"/>
      <c r="BH8" s="8"/>
    </row>
    <row r="9" spans="1:60" ht="12">
      <c r="A9" s="29"/>
      <c r="B9" s="3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U9" s="32" t="s">
        <v>3</v>
      </c>
      <c r="V9" s="49"/>
      <c r="W9" s="29"/>
      <c r="X9" s="49"/>
      <c r="Y9" s="32"/>
      <c r="Z9" s="32"/>
      <c r="AA9" s="32"/>
      <c r="AB9" s="32"/>
      <c r="AC9" s="32"/>
      <c r="AD9" s="32"/>
      <c r="AE9" s="32"/>
      <c r="AF9" s="32"/>
      <c r="AH9" s="32"/>
      <c r="AI9" s="32"/>
      <c r="AJ9" s="32"/>
      <c r="AK9" s="32"/>
      <c r="AL9" s="32"/>
      <c r="AM9" s="32"/>
      <c r="AN9" s="32"/>
      <c r="AO9" s="32" t="s">
        <v>204</v>
      </c>
      <c r="AP9" s="32"/>
      <c r="AQ9" s="89" t="s">
        <v>232</v>
      </c>
      <c r="AR9" s="32"/>
      <c r="AS9" s="89" t="s">
        <v>155</v>
      </c>
      <c r="AT9" s="32"/>
      <c r="AU9" s="32"/>
      <c r="AV9" s="32"/>
      <c r="AW9" s="29"/>
      <c r="AX9" s="32"/>
      <c r="AY9" s="32" t="s">
        <v>105</v>
      </c>
      <c r="AZ9" s="32"/>
      <c r="BA9" s="32" t="s">
        <v>106</v>
      </c>
      <c r="BB9" s="32"/>
      <c r="BC9" s="32"/>
      <c r="BD9" s="32"/>
      <c r="BE9" s="32" t="s">
        <v>107</v>
      </c>
      <c r="BF9" s="32"/>
      <c r="BG9" s="36" t="s">
        <v>3</v>
      </c>
      <c r="BH9" s="8"/>
    </row>
    <row r="10" spans="1:60" ht="12">
      <c r="A10" s="29"/>
      <c r="B10" s="32"/>
      <c r="C10" s="32" t="s">
        <v>140</v>
      </c>
      <c r="D10" s="32"/>
      <c r="E10" s="32" t="s">
        <v>156</v>
      </c>
      <c r="F10" s="32"/>
      <c r="G10" s="32" t="s">
        <v>3</v>
      </c>
      <c r="H10" s="32"/>
      <c r="I10" s="32" t="s">
        <v>140</v>
      </c>
      <c r="J10" s="32"/>
      <c r="K10" s="32" t="s">
        <v>109</v>
      </c>
      <c r="L10" s="32"/>
      <c r="M10" s="32" t="s">
        <v>3</v>
      </c>
      <c r="N10" s="32"/>
      <c r="O10" s="32" t="s">
        <v>144</v>
      </c>
      <c r="P10" s="32"/>
      <c r="Q10" s="32"/>
      <c r="R10" s="32"/>
      <c r="S10" s="32"/>
      <c r="T10" s="32"/>
      <c r="U10" s="89" t="s">
        <v>254</v>
      </c>
      <c r="V10" s="32"/>
      <c r="W10" s="29"/>
      <c r="X10" s="32"/>
      <c r="Y10" s="32" t="s">
        <v>103</v>
      </c>
      <c r="Z10" s="32"/>
      <c r="AA10" s="32" t="s">
        <v>157</v>
      </c>
      <c r="AB10" s="32"/>
      <c r="AC10" s="32"/>
      <c r="AD10" s="32"/>
      <c r="AE10" s="32" t="s">
        <v>103</v>
      </c>
      <c r="AF10" s="32"/>
      <c r="AG10" s="32" t="s">
        <v>158</v>
      </c>
      <c r="AH10" s="32"/>
      <c r="AI10" s="32" t="s">
        <v>103</v>
      </c>
      <c r="AJ10" s="32"/>
      <c r="AK10" s="32" t="s">
        <v>103</v>
      </c>
      <c r="AL10" s="32"/>
      <c r="AM10" s="32" t="s">
        <v>90</v>
      </c>
      <c r="AN10" s="32"/>
      <c r="AO10" s="32" t="s">
        <v>217</v>
      </c>
      <c r="AP10" s="32"/>
      <c r="AQ10" s="36" t="s">
        <v>219</v>
      </c>
      <c r="AR10" s="32"/>
      <c r="AS10" s="36" t="s">
        <v>219</v>
      </c>
      <c r="AT10" s="32"/>
      <c r="AU10" s="32" t="s">
        <v>256</v>
      </c>
      <c r="AV10" s="32"/>
      <c r="AW10" s="29"/>
      <c r="AX10" s="32"/>
      <c r="AY10" s="32" t="s">
        <v>108</v>
      </c>
      <c r="AZ10" s="32"/>
      <c r="BA10" s="32" t="s">
        <v>11</v>
      </c>
      <c r="BB10" s="32"/>
      <c r="BC10" s="32"/>
      <c r="BD10" s="32"/>
      <c r="BE10" s="32" t="s">
        <v>109</v>
      </c>
      <c r="BF10" s="32"/>
      <c r="BG10" s="36" t="s">
        <v>109</v>
      </c>
      <c r="BH10" s="8"/>
    </row>
    <row r="11" spans="1:60" ht="12">
      <c r="A11" s="30" t="s">
        <v>4</v>
      </c>
      <c r="C11" s="39" t="s">
        <v>117</v>
      </c>
      <c r="E11" s="39" t="s">
        <v>117</v>
      </c>
      <c r="G11" s="39" t="s">
        <v>117</v>
      </c>
      <c r="I11" s="39" t="s">
        <v>124</v>
      </c>
      <c r="K11" s="39" t="s">
        <v>116</v>
      </c>
      <c r="M11" s="39" t="s">
        <v>124</v>
      </c>
      <c r="O11" s="39" t="s">
        <v>226</v>
      </c>
      <c r="Q11" s="39" t="s">
        <v>146</v>
      </c>
      <c r="S11" s="39" t="s">
        <v>147</v>
      </c>
      <c r="U11" s="94" t="s">
        <v>255</v>
      </c>
      <c r="W11" s="30" t="s">
        <v>4</v>
      </c>
      <c r="Y11" s="39" t="s">
        <v>11</v>
      </c>
      <c r="AA11" s="39" t="s">
        <v>110</v>
      </c>
      <c r="AC11" s="39" t="s">
        <v>110</v>
      </c>
      <c r="AE11" s="39" t="s">
        <v>111</v>
      </c>
      <c r="AF11" s="28"/>
      <c r="AG11" s="39" t="s">
        <v>218</v>
      </c>
      <c r="AH11" s="28"/>
      <c r="AI11" s="39" t="s">
        <v>112</v>
      </c>
      <c r="AJ11" s="28"/>
      <c r="AK11" s="39" t="s">
        <v>113</v>
      </c>
      <c r="AL11" s="28"/>
      <c r="AM11" s="39" t="s">
        <v>159</v>
      </c>
      <c r="AO11" s="39" t="s">
        <v>142</v>
      </c>
      <c r="AQ11" s="41" t="s">
        <v>220</v>
      </c>
      <c r="AS11" s="41" t="s">
        <v>220</v>
      </c>
      <c r="AU11" s="39" t="s">
        <v>90</v>
      </c>
      <c r="AW11" s="30" t="s">
        <v>4</v>
      </c>
      <c r="AY11" s="39" t="s">
        <v>114</v>
      </c>
      <c r="BA11" s="39" t="s">
        <v>114</v>
      </c>
      <c r="BC11" s="39" t="s">
        <v>115</v>
      </c>
      <c r="BE11" s="39" t="s">
        <v>116</v>
      </c>
      <c r="BG11" s="41" t="s">
        <v>116</v>
      </c>
      <c r="BH11" s="8"/>
    </row>
    <row r="12" spans="1:60" ht="12" hidden="1">
      <c r="A12" s="28" t="s">
        <v>12</v>
      </c>
      <c r="B12" s="5"/>
      <c r="C12" s="5" t="s">
        <v>163</v>
      </c>
      <c r="D12" s="5"/>
      <c r="E12" s="5" t="s">
        <v>163</v>
      </c>
      <c r="F12" s="5"/>
      <c r="G12" s="5" t="s">
        <v>163</v>
      </c>
      <c r="H12" s="5"/>
      <c r="I12" s="5" t="s">
        <v>163</v>
      </c>
      <c r="J12" s="5"/>
      <c r="K12" s="5" t="s">
        <v>163</v>
      </c>
      <c r="L12" s="5"/>
      <c r="M12" s="5" t="s">
        <v>163</v>
      </c>
      <c r="N12" s="5"/>
      <c r="O12" s="5" t="s">
        <v>163</v>
      </c>
      <c r="P12" s="5"/>
      <c r="Q12" s="5" t="s">
        <v>163</v>
      </c>
      <c r="R12" s="5"/>
      <c r="S12" s="5" t="s">
        <v>163</v>
      </c>
      <c r="T12" s="5"/>
      <c r="U12" s="34" t="s">
        <v>163</v>
      </c>
      <c r="V12" s="5"/>
      <c r="W12" s="28" t="s">
        <v>12</v>
      </c>
      <c r="X12" s="5"/>
      <c r="Y12" s="5" t="s">
        <v>163</v>
      </c>
      <c r="Z12" s="5"/>
      <c r="AA12" s="5" t="s">
        <v>163</v>
      </c>
      <c r="AB12" s="5"/>
      <c r="AC12" s="5" t="s">
        <v>163</v>
      </c>
      <c r="AD12" s="5"/>
      <c r="AE12" s="5" t="s">
        <v>163</v>
      </c>
      <c r="AF12" s="5"/>
      <c r="AG12" s="5" t="s">
        <v>163</v>
      </c>
      <c r="AH12" s="5"/>
      <c r="AI12" s="5" t="s">
        <v>163</v>
      </c>
      <c r="AJ12" s="5"/>
      <c r="AK12" s="5" t="s">
        <v>163</v>
      </c>
      <c r="AL12" s="5"/>
      <c r="AM12" s="5" t="s">
        <v>163</v>
      </c>
      <c r="AN12" s="5"/>
      <c r="AO12" s="5" t="s">
        <v>163</v>
      </c>
      <c r="AP12" s="5"/>
      <c r="AQ12" s="5" t="s">
        <v>163</v>
      </c>
      <c r="AR12" s="5"/>
      <c r="AS12" s="5" t="s">
        <v>163</v>
      </c>
      <c r="AT12" s="5"/>
      <c r="AU12" s="5" t="s">
        <v>163</v>
      </c>
      <c r="AV12" s="5"/>
      <c r="AW12" s="28" t="s">
        <v>12</v>
      </c>
      <c r="AX12" s="5"/>
      <c r="AY12" s="5" t="s">
        <v>163</v>
      </c>
      <c r="AZ12" s="5"/>
      <c r="BA12" s="5" t="s">
        <v>163</v>
      </c>
      <c r="BB12" s="5"/>
      <c r="BC12" s="5" t="s">
        <v>163</v>
      </c>
      <c r="BD12" s="5"/>
      <c r="BE12" s="5" t="s">
        <v>163</v>
      </c>
      <c r="BF12" s="5"/>
      <c r="BG12" s="5" t="s">
        <v>163</v>
      </c>
      <c r="BH12" s="8"/>
    </row>
    <row r="13" spans="1:60" ht="12" hidden="1">
      <c r="A13" s="28" t="s">
        <v>13</v>
      </c>
      <c r="B13" s="5"/>
      <c r="C13" s="5" t="s">
        <v>163</v>
      </c>
      <c r="D13" s="5"/>
      <c r="E13" s="5" t="s">
        <v>163</v>
      </c>
      <c r="F13" s="5"/>
      <c r="G13" s="5" t="s">
        <v>163</v>
      </c>
      <c r="H13" s="5"/>
      <c r="I13" s="5" t="s">
        <v>163</v>
      </c>
      <c r="J13" s="5"/>
      <c r="K13" s="5" t="s">
        <v>163</v>
      </c>
      <c r="L13" s="5"/>
      <c r="M13" s="5" t="s">
        <v>163</v>
      </c>
      <c r="N13" s="5"/>
      <c r="O13" s="5" t="s">
        <v>163</v>
      </c>
      <c r="P13" s="5"/>
      <c r="Q13" s="5" t="s">
        <v>163</v>
      </c>
      <c r="R13" s="5"/>
      <c r="S13" s="5" t="s">
        <v>163</v>
      </c>
      <c r="T13" s="5"/>
      <c r="U13" s="34" t="s">
        <v>163</v>
      </c>
      <c r="V13" s="5"/>
      <c r="W13" s="28" t="s">
        <v>13</v>
      </c>
      <c r="X13" s="5"/>
      <c r="Y13" s="5" t="s">
        <v>163</v>
      </c>
      <c r="Z13" s="5"/>
      <c r="AA13" s="5" t="s">
        <v>163</v>
      </c>
      <c r="AB13" s="5"/>
      <c r="AC13" s="5" t="s">
        <v>163</v>
      </c>
      <c r="AD13" s="5"/>
      <c r="AE13" s="5" t="s">
        <v>163</v>
      </c>
      <c r="AF13" s="5"/>
      <c r="AG13" s="5" t="s">
        <v>163</v>
      </c>
      <c r="AH13" s="5"/>
      <c r="AI13" s="5" t="s">
        <v>163</v>
      </c>
      <c r="AJ13" s="5"/>
      <c r="AK13" s="5" t="s">
        <v>163</v>
      </c>
      <c r="AL13" s="5"/>
      <c r="AM13" s="5" t="s">
        <v>163</v>
      </c>
      <c r="AN13" s="5"/>
      <c r="AO13" s="5" t="s">
        <v>163</v>
      </c>
      <c r="AP13" s="5"/>
      <c r="AQ13" s="5" t="s">
        <v>163</v>
      </c>
      <c r="AR13" s="5"/>
      <c r="AS13" s="5" t="s">
        <v>163</v>
      </c>
      <c r="AT13" s="5"/>
      <c r="AU13" s="5" t="s">
        <v>163</v>
      </c>
      <c r="AV13" s="5"/>
      <c r="AW13" s="28" t="s">
        <v>13</v>
      </c>
      <c r="AX13" s="5"/>
      <c r="AY13" s="5" t="s">
        <v>163</v>
      </c>
      <c r="AZ13" s="5"/>
      <c r="BA13" s="5" t="s">
        <v>163</v>
      </c>
      <c r="BB13" s="5"/>
      <c r="BC13" s="5" t="s">
        <v>163</v>
      </c>
      <c r="BD13" s="5"/>
      <c r="BE13" s="5" t="s">
        <v>163</v>
      </c>
      <c r="BF13" s="5"/>
      <c r="BG13" s="5" t="s">
        <v>163</v>
      </c>
      <c r="BH13" s="8"/>
    </row>
    <row r="14" spans="2:60" ht="1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4"/>
      <c r="V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8"/>
    </row>
    <row r="15" spans="1:60" ht="12">
      <c r="A15" s="28" t="s">
        <v>14</v>
      </c>
      <c r="B15" s="5"/>
      <c r="C15" s="77">
        <f>G15-E15</f>
        <v>1647714</v>
      </c>
      <c r="D15" s="77"/>
      <c r="E15" s="77">
        <v>85666</v>
      </c>
      <c r="F15" s="77"/>
      <c r="G15" s="77">
        <v>1733380</v>
      </c>
      <c r="H15" s="77"/>
      <c r="I15" s="77">
        <f>M15-K15</f>
        <v>40664</v>
      </c>
      <c r="J15" s="77"/>
      <c r="K15" s="77">
        <f>SUM(BG15)</f>
        <v>1925712</v>
      </c>
      <c r="L15" s="77"/>
      <c r="M15" s="77">
        <v>1966376</v>
      </c>
      <c r="N15" s="77"/>
      <c r="O15" s="77">
        <v>0</v>
      </c>
      <c r="P15" s="77"/>
      <c r="Q15" s="77">
        <v>0</v>
      </c>
      <c r="R15" s="77"/>
      <c r="S15" s="77">
        <v>-232996</v>
      </c>
      <c r="T15" s="77"/>
      <c r="U15" s="77">
        <f>SUM(O15:S15)</f>
        <v>-232996</v>
      </c>
      <c r="V15" s="77"/>
      <c r="W15" s="80" t="s">
        <v>14</v>
      </c>
      <c r="X15" s="77"/>
      <c r="Y15" s="81">
        <v>247021</v>
      </c>
      <c r="Z15" s="81"/>
      <c r="AA15" s="81">
        <v>575365</v>
      </c>
      <c r="AB15" s="81"/>
      <c r="AC15" s="81">
        <v>5836</v>
      </c>
      <c r="AD15" s="81"/>
      <c r="AE15" s="74">
        <f>+Y15-AA15-AC15</f>
        <v>-334180</v>
      </c>
      <c r="AF15" s="74"/>
      <c r="AG15" s="74">
        <v>2000</v>
      </c>
      <c r="AH15" s="74"/>
      <c r="AI15" s="81">
        <v>0</v>
      </c>
      <c r="AJ15" s="81"/>
      <c r="AK15" s="81">
        <v>62629</v>
      </c>
      <c r="AL15" s="81"/>
      <c r="AM15" s="81">
        <v>0</v>
      </c>
      <c r="AN15" s="81"/>
      <c r="AO15" s="74">
        <f>+AE15+AG15+AI15-AK15+AM15</f>
        <v>-394809</v>
      </c>
      <c r="AP15" s="74"/>
      <c r="AQ15" s="70" t="s">
        <v>163</v>
      </c>
      <c r="AR15" s="81"/>
      <c r="AS15" s="70" t="s">
        <v>163</v>
      </c>
      <c r="AT15" s="81"/>
      <c r="AU15" s="81">
        <f>+C15-I15</f>
        <v>1607050</v>
      </c>
      <c r="AV15" s="81"/>
      <c r="AW15" s="80" t="s">
        <v>14</v>
      </c>
      <c r="AX15" s="81"/>
      <c r="AY15" s="81">
        <v>0</v>
      </c>
      <c r="AZ15" s="81"/>
      <c r="BA15" s="81">
        <v>0</v>
      </c>
      <c r="BB15" s="81"/>
      <c r="BC15" s="81">
        <v>0</v>
      </c>
      <c r="BD15" s="81"/>
      <c r="BE15" s="81">
        <f>1422+1924290</f>
        <v>1925712</v>
      </c>
      <c r="BF15" s="81"/>
      <c r="BG15" s="81">
        <f>SUM(AY15:BE15)</f>
        <v>1925712</v>
      </c>
      <c r="BH15" s="8"/>
    </row>
    <row r="16" spans="1:60" ht="12" hidden="1">
      <c r="A16" s="28" t="s">
        <v>15</v>
      </c>
      <c r="B16" s="5"/>
      <c r="C16" s="5" t="s">
        <v>163</v>
      </c>
      <c r="D16" s="5"/>
      <c r="E16" s="5" t="s">
        <v>163</v>
      </c>
      <c r="F16" s="5"/>
      <c r="G16" s="5" t="s">
        <v>163</v>
      </c>
      <c r="H16" s="5"/>
      <c r="I16" s="5" t="s">
        <v>163</v>
      </c>
      <c r="J16" s="5"/>
      <c r="K16" s="5" t="s">
        <v>163</v>
      </c>
      <c r="L16" s="5"/>
      <c r="M16" s="5" t="s">
        <v>163</v>
      </c>
      <c r="N16" s="5"/>
      <c r="O16" s="5" t="s">
        <v>163</v>
      </c>
      <c r="P16" s="5"/>
      <c r="Q16" s="5" t="s">
        <v>163</v>
      </c>
      <c r="R16" s="5"/>
      <c r="S16" s="5" t="s">
        <v>163</v>
      </c>
      <c r="T16" s="5"/>
      <c r="U16" s="5" t="s">
        <v>163</v>
      </c>
      <c r="V16" s="5"/>
      <c r="W16" s="78" t="s">
        <v>15</v>
      </c>
      <c r="X16" s="5"/>
      <c r="Y16" s="5" t="s">
        <v>163</v>
      </c>
      <c r="Z16" s="5"/>
      <c r="AA16" s="5" t="s">
        <v>163</v>
      </c>
      <c r="AB16" s="5"/>
      <c r="AC16" s="5" t="s">
        <v>163</v>
      </c>
      <c r="AD16" s="5"/>
      <c r="AE16" s="5" t="s">
        <v>163</v>
      </c>
      <c r="AF16" s="5"/>
      <c r="AG16" s="5" t="s">
        <v>163</v>
      </c>
      <c r="AH16" s="5"/>
      <c r="AI16" s="5" t="s">
        <v>163</v>
      </c>
      <c r="AJ16" s="5"/>
      <c r="AK16" s="5" t="s">
        <v>163</v>
      </c>
      <c r="AL16" s="5"/>
      <c r="AM16" s="5" t="s">
        <v>163</v>
      </c>
      <c r="AN16" s="5"/>
      <c r="AO16" s="5" t="s">
        <v>163</v>
      </c>
      <c r="AP16" s="5"/>
      <c r="AQ16" s="5" t="s">
        <v>163</v>
      </c>
      <c r="AR16" s="5"/>
      <c r="AS16" s="70" t="s">
        <v>163</v>
      </c>
      <c r="AT16" s="5"/>
      <c r="AU16" s="5" t="s">
        <v>163</v>
      </c>
      <c r="AV16" s="5"/>
      <c r="AW16" s="78" t="s">
        <v>15</v>
      </c>
      <c r="AX16" s="5"/>
      <c r="AY16" s="5" t="s">
        <v>163</v>
      </c>
      <c r="AZ16" s="5"/>
      <c r="BA16" s="5" t="s">
        <v>163</v>
      </c>
      <c r="BB16" s="5"/>
      <c r="BC16" s="5" t="s">
        <v>163</v>
      </c>
      <c r="BD16" s="5"/>
      <c r="BE16" s="5" t="s">
        <v>163</v>
      </c>
      <c r="BF16" s="5"/>
      <c r="BG16" s="5" t="s">
        <v>163</v>
      </c>
      <c r="BH16" s="8"/>
    </row>
    <row r="17" spans="1:60" ht="12" hidden="1">
      <c r="A17" s="28" t="s">
        <v>16</v>
      </c>
      <c r="B17" s="5"/>
      <c r="C17" s="5" t="s">
        <v>163</v>
      </c>
      <c r="D17" s="5"/>
      <c r="E17" s="5" t="s">
        <v>163</v>
      </c>
      <c r="F17" s="5"/>
      <c r="G17" s="5" t="s">
        <v>163</v>
      </c>
      <c r="H17" s="5"/>
      <c r="I17" s="5" t="s">
        <v>163</v>
      </c>
      <c r="J17" s="5"/>
      <c r="K17" s="5" t="s">
        <v>163</v>
      </c>
      <c r="L17" s="5"/>
      <c r="M17" s="5" t="s">
        <v>163</v>
      </c>
      <c r="N17" s="5"/>
      <c r="O17" s="5" t="s">
        <v>163</v>
      </c>
      <c r="P17" s="5"/>
      <c r="Q17" s="5" t="s">
        <v>163</v>
      </c>
      <c r="R17" s="5"/>
      <c r="S17" s="5" t="s">
        <v>163</v>
      </c>
      <c r="T17" s="5"/>
      <c r="U17" s="5" t="s">
        <v>163</v>
      </c>
      <c r="V17" s="5"/>
      <c r="W17" s="78" t="s">
        <v>16</v>
      </c>
      <c r="X17" s="5"/>
      <c r="Y17" s="5" t="s">
        <v>163</v>
      </c>
      <c r="Z17" s="5"/>
      <c r="AA17" s="5" t="s">
        <v>163</v>
      </c>
      <c r="AB17" s="5"/>
      <c r="AC17" s="5" t="s">
        <v>163</v>
      </c>
      <c r="AD17" s="5"/>
      <c r="AE17" s="5" t="s">
        <v>163</v>
      </c>
      <c r="AF17" s="5"/>
      <c r="AG17" s="5" t="s">
        <v>163</v>
      </c>
      <c r="AH17" s="5"/>
      <c r="AI17" s="5" t="s">
        <v>163</v>
      </c>
      <c r="AJ17" s="5"/>
      <c r="AK17" s="5" t="s">
        <v>163</v>
      </c>
      <c r="AL17" s="5"/>
      <c r="AM17" s="5" t="s">
        <v>163</v>
      </c>
      <c r="AN17" s="5"/>
      <c r="AO17" s="5" t="s">
        <v>163</v>
      </c>
      <c r="AP17" s="5"/>
      <c r="AQ17" s="5" t="s">
        <v>163</v>
      </c>
      <c r="AR17" s="5"/>
      <c r="AS17" s="70" t="s">
        <v>163</v>
      </c>
      <c r="AT17" s="5"/>
      <c r="AU17" s="5" t="s">
        <v>163</v>
      </c>
      <c r="AV17" s="5"/>
      <c r="AW17" s="78" t="s">
        <v>16</v>
      </c>
      <c r="AX17" s="5"/>
      <c r="AY17" s="5" t="s">
        <v>163</v>
      </c>
      <c r="AZ17" s="5"/>
      <c r="BA17" s="5" t="s">
        <v>163</v>
      </c>
      <c r="BB17" s="5"/>
      <c r="BC17" s="5" t="s">
        <v>163</v>
      </c>
      <c r="BD17" s="5"/>
      <c r="BE17" s="5" t="s">
        <v>163</v>
      </c>
      <c r="BF17" s="5"/>
      <c r="BG17" s="5" t="s">
        <v>163</v>
      </c>
      <c r="BH17" s="8"/>
    </row>
    <row r="18" spans="1:60" ht="12" hidden="1">
      <c r="A18" s="28" t="s">
        <v>17</v>
      </c>
      <c r="B18" s="5"/>
      <c r="C18" s="5" t="s">
        <v>163</v>
      </c>
      <c r="D18" s="5"/>
      <c r="E18" s="5" t="s">
        <v>163</v>
      </c>
      <c r="F18" s="5"/>
      <c r="G18" s="5" t="s">
        <v>163</v>
      </c>
      <c r="H18" s="5"/>
      <c r="I18" s="5" t="s">
        <v>163</v>
      </c>
      <c r="J18" s="5"/>
      <c r="K18" s="5" t="s">
        <v>163</v>
      </c>
      <c r="L18" s="5"/>
      <c r="M18" s="5" t="s">
        <v>163</v>
      </c>
      <c r="N18" s="5"/>
      <c r="O18" s="5" t="s">
        <v>163</v>
      </c>
      <c r="P18" s="5"/>
      <c r="Q18" s="5" t="s">
        <v>163</v>
      </c>
      <c r="R18" s="5"/>
      <c r="S18" s="5" t="s">
        <v>163</v>
      </c>
      <c r="T18" s="5"/>
      <c r="U18" s="5" t="s">
        <v>163</v>
      </c>
      <c r="V18" s="5"/>
      <c r="W18" s="78" t="s">
        <v>17</v>
      </c>
      <c r="X18" s="5"/>
      <c r="Y18" s="5" t="s">
        <v>163</v>
      </c>
      <c r="Z18" s="5"/>
      <c r="AA18" s="5" t="s">
        <v>163</v>
      </c>
      <c r="AB18" s="5"/>
      <c r="AC18" s="5" t="s">
        <v>163</v>
      </c>
      <c r="AD18" s="5"/>
      <c r="AE18" s="5" t="s">
        <v>163</v>
      </c>
      <c r="AF18" s="5"/>
      <c r="AG18" s="5" t="s">
        <v>163</v>
      </c>
      <c r="AH18" s="5"/>
      <c r="AI18" s="5" t="s">
        <v>163</v>
      </c>
      <c r="AJ18" s="5"/>
      <c r="AK18" s="5" t="s">
        <v>163</v>
      </c>
      <c r="AL18" s="5"/>
      <c r="AM18" s="5" t="s">
        <v>163</v>
      </c>
      <c r="AN18" s="5"/>
      <c r="AO18" s="5" t="s">
        <v>163</v>
      </c>
      <c r="AP18" s="5"/>
      <c r="AQ18" s="5" t="s">
        <v>163</v>
      </c>
      <c r="AR18" s="5"/>
      <c r="AS18" s="70" t="s">
        <v>163</v>
      </c>
      <c r="AT18" s="5"/>
      <c r="AU18" s="5" t="s">
        <v>163</v>
      </c>
      <c r="AV18" s="5"/>
      <c r="AW18" s="78" t="s">
        <v>17</v>
      </c>
      <c r="AX18" s="5"/>
      <c r="AY18" s="5" t="s">
        <v>163</v>
      </c>
      <c r="AZ18" s="5"/>
      <c r="BA18" s="5" t="s">
        <v>163</v>
      </c>
      <c r="BB18" s="5"/>
      <c r="BC18" s="5" t="s">
        <v>163</v>
      </c>
      <c r="BD18" s="5"/>
      <c r="BE18" s="5" t="s">
        <v>163</v>
      </c>
      <c r="BF18" s="5"/>
      <c r="BG18" s="5" t="s">
        <v>163</v>
      </c>
      <c r="BH18" s="8"/>
    </row>
    <row r="19" spans="1:60" ht="12" hidden="1">
      <c r="A19" s="28" t="s">
        <v>18</v>
      </c>
      <c r="B19" s="5"/>
      <c r="C19" s="5" t="s">
        <v>163</v>
      </c>
      <c r="D19" s="5"/>
      <c r="E19" s="5" t="s">
        <v>163</v>
      </c>
      <c r="F19" s="5"/>
      <c r="G19" s="5" t="s">
        <v>163</v>
      </c>
      <c r="H19" s="5"/>
      <c r="I19" s="5" t="s">
        <v>163</v>
      </c>
      <c r="J19" s="5"/>
      <c r="K19" s="5" t="s">
        <v>163</v>
      </c>
      <c r="L19" s="5"/>
      <c r="M19" s="5" t="s">
        <v>163</v>
      </c>
      <c r="N19" s="5"/>
      <c r="O19" s="5" t="s">
        <v>163</v>
      </c>
      <c r="P19" s="5"/>
      <c r="Q19" s="5" t="s">
        <v>163</v>
      </c>
      <c r="R19" s="5"/>
      <c r="S19" s="5" t="s">
        <v>163</v>
      </c>
      <c r="T19" s="5"/>
      <c r="U19" s="5" t="s">
        <v>163</v>
      </c>
      <c r="V19" s="5"/>
      <c r="W19" s="78" t="s">
        <v>18</v>
      </c>
      <c r="X19" s="5"/>
      <c r="Y19" s="5" t="s">
        <v>163</v>
      </c>
      <c r="Z19" s="5"/>
      <c r="AA19" s="5" t="s">
        <v>163</v>
      </c>
      <c r="AB19" s="5"/>
      <c r="AC19" s="5" t="s">
        <v>163</v>
      </c>
      <c r="AD19" s="5"/>
      <c r="AE19" s="5" t="s">
        <v>163</v>
      </c>
      <c r="AF19" s="5"/>
      <c r="AG19" s="5" t="s">
        <v>163</v>
      </c>
      <c r="AH19" s="5"/>
      <c r="AI19" s="5" t="s">
        <v>163</v>
      </c>
      <c r="AJ19" s="5"/>
      <c r="AK19" s="5" t="s">
        <v>163</v>
      </c>
      <c r="AL19" s="5"/>
      <c r="AM19" s="5" t="s">
        <v>163</v>
      </c>
      <c r="AN19" s="5"/>
      <c r="AO19" s="5" t="s">
        <v>163</v>
      </c>
      <c r="AP19" s="5"/>
      <c r="AQ19" s="5" t="s">
        <v>163</v>
      </c>
      <c r="AR19" s="5"/>
      <c r="AS19" s="70" t="s">
        <v>163</v>
      </c>
      <c r="AT19" s="5"/>
      <c r="AU19" s="5" t="s">
        <v>163</v>
      </c>
      <c r="AV19" s="5"/>
      <c r="AW19" s="78" t="s">
        <v>18</v>
      </c>
      <c r="AX19" s="5"/>
      <c r="AY19" s="5" t="s">
        <v>163</v>
      </c>
      <c r="AZ19" s="5"/>
      <c r="BA19" s="5" t="s">
        <v>163</v>
      </c>
      <c r="BB19" s="5"/>
      <c r="BC19" s="5" t="s">
        <v>163</v>
      </c>
      <c r="BD19" s="5"/>
      <c r="BE19" s="5" t="s">
        <v>163</v>
      </c>
      <c r="BF19" s="5"/>
      <c r="BG19" s="5" t="s">
        <v>163</v>
      </c>
      <c r="BH19" s="8"/>
    </row>
    <row r="20" spans="1:60" ht="12" hidden="1">
      <c r="A20" s="28" t="s">
        <v>99</v>
      </c>
      <c r="B20" s="5"/>
      <c r="C20" s="37">
        <f>G20-E20</f>
        <v>0</v>
      </c>
      <c r="D20" s="37"/>
      <c r="E20" s="37"/>
      <c r="F20" s="37"/>
      <c r="G20" s="37"/>
      <c r="H20" s="37"/>
      <c r="I20" s="37">
        <f>M20-K20</f>
        <v>0</v>
      </c>
      <c r="J20" s="37"/>
      <c r="K20" s="37">
        <f>SUM(BG20)</f>
        <v>0</v>
      </c>
      <c r="L20" s="37"/>
      <c r="M20" s="37"/>
      <c r="N20" s="37"/>
      <c r="O20" s="37"/>
      <c r="P20" s="37"/>
      <c r="Q20" s="37"/>
      <c r="R20" s="37"/>
      <c r="S20" s="37"/>
      <c r="T20" s="37"/>
      <c r="U20" s="37">
        <f>SUM(O20:S20)</f>
        <v>0</v>
      </c>
      <c r="V20" s="37"/>
      <c r="W20" s="78" t="s">
        <v>99</v>
      </c>
      <c r="X20" s="37"/>
      <c r="Y20" s="34"/>
      <c r="Z20" s="34"/>
      <c r="AA20" s="34"/>
      <c r="AB20" s="34"/>
      <c r="AC20" s="34"/>
      <c r="AD20" s="34"/>
      <c r="AE20" s="38">
        <f>+Y20-AA20-AC20</f>
        <v>0</v>
      </c>
      <c r="AF20" s="38"/>
      <c r="AG20" s="38"/>
      <c r="AH20" s="38"/>
      <c r="AI20" s="34"/>
      <c r="AJ20" s="34"/>
      <c r="AK20" s="34"/>
      <c r="AL20" s="34"/>
      <c r="AM20" s="34"/>
      <c r="AN20" s="34"/>
      <c r="AO20" s="38">
        <f>+AE20+AG20+AI20-AK20+AM20</f>
        <v>0</v>
      </c>
      <c r="AP20" s="38"/>
      <c r="AQ20" s="34"/>
      <c r="AR20" s="34"/>
      <c r="AS20" s="70" t="s">
        <v>163</v>
      </c>
      <c r="AT20" s="34"/>
      <c r="AU20" s="34">
        <f>+C20-I20</f>
        <v>0</v>
      </c>
      <c r="AV20" s="34"/>
      <c r="AW20" s="78" t="s">
        <v>99</v>
      </c>
      <c r="AX20" s="34"/>
      <c r="AY20" s="34"/>
      <c r="AZ20" s="34"/>
      <c r="BA20" s="34"/>
      <c r="BB20" s="34"/>
      <c r="BC20" s="34"/>
      <c r="BD20" s="34"/>
      <c r="BE20" s="34"/>
      <c r="BF20" s="34"/>
      <c r="BG20" s="34">
        <f>SUM(AY20:BE20)</f>
        <v>0</v>
      </c>
      <c r="BH20" s="8"/>
    </row>
    <row r="21" spans="1:60" ht="12" hidden="1">
      <c r="A21" s="28" t="s">
        <v>19</v>
      </c>
      <c r="B21" s="5"/>
      <c r="C21" s="37">
        <f>G21-E21</f>
        <v>0</v>
      </c>
      <c r="D21" s="37"/>
      <c r="E21" s="37"/>
      <c r="F21" s="37"/>
      <c r="G21" s="37"/>
      <c r="H21" s="37"/>
      <c r="I21" s="37">
        <f>M21-K21</f>
        <v>0</v>
      </c>
      <c r="J21" s="37"/>
      <c r="K21" s="37">
        <f>SUM(BG21)</f>
        <v>0</v>
      </c>
      <c r="L21" s="37"/>
      <c r="M21" s="37"/>
      <c r="N21" s="37"/>
      <c r="O21" s="37"/>
      <c r="P21" s="37"/>
      <c r="Q21" s="37"/>
      <c r="R21" s="37"/>
      <c r="S21" s="37"/>
      <c r="T21" s="37"/>
      <c r="U21" s="37">
        <f>SUM(O21:S21)</f>
        <v>0</v>
      </c>
      <c r="V21" s="37"/>
      <c r="W21" s="78" t="s">
        <v>19</v>
      </c>
      <c r="X21" s="37"/>
      <c r="Y21" s="34"/>
      <c r="Z21" s="34"/>
      <c r="AA21" s="34"/>
      <c r="AB21" s="34"/>
      <c r="AC21" s="34"/>
      <c r="AD21" s="34"/>
      <c r="AE21" s="38">
        <f>+Y21-AA21-AC21</f>
        <v>0</v>
      </c>
      <c r="AF21" s="38"/>
      <c r="AG21" s="38"/>
      <c r="AH21" s="38"/>
      <c r="AI21" s="34"/>
      <c r="AJ21" s="34"/>
      <c r="AK21" s="34"/>
      <c r="AL21" s="34"/>
      <c r="AM21" s="34"/>
      <c r="AN21" s="34"/>
      <c r="AO21" s="38">
        <f>+AE21+AG21+AI21-AK21+AM21</f>
        <v>0</v>
      </c>
      <c r="AP21" s="38"/>
      <c r="AQ21" s="34"/>
      <c r="AR21" s="34"/>
      <c r="AS21" s="70" t="s">
        <v>163</v>
      </c>
      <c r="AT21" s="34"/>
      <c r="AU21" s="34">
        <f>+C21-I21</f>
        <v>0</v>
      </c>
      <c r="AV21" s="34"/>
      <c r="AW21" s="78" t="s">
        <v>19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4">
        <f>SUM(AY21:BE21)</f>
        <v>0</v>
      </c>
      <c r="BH21" s="8"/>
    </row>
    <row r="22" spans="1:60" ht="12">
      <c r="A22" s="28" t="s">
        <v>20</v>
      </c>
      <c r="B22" s="5"/>
      <c r="C22" s="37">
        <f>G22-E22</f>
        <v>459</v>
      </c>
      <c r="D22" s="37"/>
      <c r="E22" s="37">
        <v>0</v>
      </c>
      <c r="F22" s="37"/>
      <c r="G22" s="37">
        <v>459</v>
      </c>
      <c r="H22" s="37"/>
      <c r="I22" s="37">
        <f>M22-K22</f>
        <v>0</v>
      </c>
      <c r="J22" s="37"/>
      <c r="K22" s="37">
        <f>SUM(BG22)</f>
        <v>3733488</v>
      </c>
      <c r="L22" s="37"/>
      <c r="M22" s="37">
        <v>3733488</v>
      </c>
      <c r="N22" s="37"/>
      <c r="O22" s="37">
        <v>0</v>
      </c>
      <c r="P22" s="37"/>
      <c r="Q22" s="37">
        <v>0</v>
      </c>
      <c r="R22" s="37"/>
      <c r="S22" s="37">
        <v>-3733029</v>
      </c>
      <c r="T22" s="37"/>
      <c r="U22" s="37">
        <f>SUM(O22:S22)</f>
        <v>-3733029</v>
      </c>
      <c r="V22" s="37"/>
      <c r="W22" s="78" t="s">
        <v>20</v>
      </c>
      <c r="X22" s="37"/>
      <c r="Y22" s="34">
        <v>0</v>
      </c>
      <c r="Z22" s="34"/>
      <c r="AA22" s="34">
        <v>78910</v>
      </c>
      <c r="AB22" s="34"/>
      <c r="AC22" s="34">
        <v>0</v>
      </c>
      <c r="AD22" s="34"/>
      <c r="AE22" s="38">
        <f>+Y22-AA22-AC22</f>
        <v>-78910</v>
      </c>
      <c r="AF22" s="38"/>
      <c r="AG22" s="38">
        <v>727</v>
      </c>
      <c r="AH22" s="38"/>
      <c r="AI22" s="34">
        <v>0</v>
      </c>
      <c r="AJ22" s="34"/>
      <c r="AK22" s="34">
        <v>0</v>
      </c>
      <c r="AL22" s="34"/>
      <c r="AM22" s="34">
        <v>0</v>
      </c>
      <c r="AN22" s="34"/>
      <c r="AO22" s="38">
        <f>+AE22+AG22+AI22-AK22+AM22</f>
        <v>-78183</v>
      </c>
      <c r="AP22" s="38"/>
      <c r="AQ22" s="70" t="s">
        <v>163</v>
      </c>
      <c r="AR22" s="34"/>
      <c r="AS22" s="70" t="s">
        <v>163</v>
      </c>
      <c r="AT22" s="34"/>
      <c r="AU22" s="34">
        <f>+C22-I22</f>
        <v>459</v>
      </c>
      <c r="AV22" s="34"/>
      <c r="AW22" s="78" t="s">
        <v>20</v>
      </c>
      <c r="AX22" s="34"/>
      <c r="AY22" s="34">
        <v>0</v>
      </c>
      <c r="AZ22" s="34"/>
      <c r="BA22" s="34">
        <v>0</v>
      </c>
      <c r="BB22" s="34"/>
      <c r="BC22" s="34">
        <v>0</v>
      </c>
      <c r="BD22" s="34"/>
      <c r="BE22" s="34">
        <v>3733488</v>
      </c>
      <c r="BF22" s="34"/>
      <c r="BG22" s="34">
        <f>SUM(AY22:BE22)</f>
        <v>3733488</v>
      </c>
      <c r="BH22" s="8"/>
    </row>
    <row r="23" spans="1:60" ht="12" hidden="1">
      <c r="A23" s="13" t="s">
        <v>177</v>
      </c>
      <c r="B23" s="5"/>
      <c r="C23" s="5" t="s">
        <v>163</v>
      </c>
      <c r="D23" s="5"/>
      <c r="E23" s="5" t="s">
        <v>163</v>
      </c>
      <c r="F23" s="5"/>
      <c r="G23" s="5" t="s">
        <v>163</v>
      </c>
      <c r="H23" s="5"/>
      <c r="I23" s="5" t="s">
        <v>163</v>
      </c>
      <c r="J23" s="5"/>
      <c r="K23" s="5" t="s">
        <v>163</v>
      </c>
      <c r="L23" s="5"/>
      <c r="M23" s="5" t="s">
        <v>163</v>
      </c>
      <c r="N23" s="5"/>
      <c r="O23" s="5" t="s">
        <v>163</v>
      </c>
      <c r="P23" s="5"/>
      <c r="Q23" s="5" t="s">
        <v>163</v>
      </c>
      <c r="R23" s="5"/>
      <c r="S23" s="5" t="s">
        <v>163</v>
      </c>
      <c r="T23" s="5"/>
      <c r="U23" s="5" t="s">
        <v>163</v>
      </c>
      <c r="V23" s="5"/>
      <c r="W23" s="34" t="s">
        <v>177</v>
      </c>
      <c r="X23" s="5"/>
      <c r="Y23" s="5" t="s">
        <v>163</v>
      </c>
      <c r="Z23" s="5"/>
      <c r="AA23" s="5" t="s">
        <v>163</v>
      </c>
      <c r="AB23" s="5"/>
      <c r="AC23" s="5" t="s">
        <v>163</v>
      </c>
      <c r="AD23" s="5"/>
      <c r="AE23" s="5" t="s">
        <v>163</v>
      </c>
      <c r="AF23" s="5"/>
      <c r="AG23" s="5" t="s">
        <v>163</v>
      </c>
      <c r="AH23" s="5"/>
      <c r="AI23" s="5" t="s">
        <v>163</v>
      </c>
      <c r="AJ23" s="5"/>
      <c r="AK23" s="5" t="s">
        <v>163</v>
      </c>
      <c r="AL23" s="5"/>
      <c r="AM23" s="5" t="s">
        <v>163</v>
      </c>
      <c r="AN23" s="5"/>
      <c r="AO23" s="5" t="s">
        <v>163</v>
      </c>
      <c r="AP23" s="5"/>
      <c r="AQ23" s="5" t="s">
        <v>163</v>
      </c>
      <c r="AR23" s="5"/>
      <c r="AS23" s="70" t="s">
        <v>163</v>
      </c>
      <c r="AT23" s="5"/>
      <c r="AU23" s="5" t="s">
        <v>163</v>
      </c>
      <c r="AV23" s="5"/>
      <c r="AW23" s="34" t="s">
        <v>177</v>
      </c>
      <c r="AX23" s="5"/>
      <c r="AY23" s="5" t="s">
        <v>163</v>
      </c>
      <c r="AZ23" s="5"/>
      <c r="BA23" s="5" t="s">
        <v>163</v>
      </c>
      <c r="BB23" s="5"/>
      <c r="BC23" s="5" t="s">
        <v>163</v>
      </c>
      <c r="BD23" s="5"/>
      <c r="BE23" s="5" t="s">
        <v>163</v>
      </c>
      <c r="BF23" s="5"/>
      <c r="BG23" s="5" t="s">
        <v>163</v>
      </c>
      <c r="BH23" s="8"/>
    </row>
    <row r="24" spans="1:60" ht="12" hidden="1">
      <c r="A24" s="28" t="s">
        <v>21</v>
      </c>
      <c r="B24" s="5"/>
      <c r="C24" s="5" t="s">
        <v>163</v>
      </c>
      <c r="D24" s="5"/>
      <c r="E24" s="5" t="s">
        <v>163</v>
      </c>
      <c r="F24" s="5"/>
      <c r="G24" s="5" t="s">
        <v>163</v>
      </c>
      <c r="H24" s="5"/>
      <c r="I24" s="5" t="s">
        <v>163</v>
      </c>
      <c r="J24" s="5"/>
      <c r="K24" s="5" t="s">
        <v>163</v>
      </c>
      <c r="L24" s="5"/>
      <c r="M24" s="5" t="s">
        <v>163</v>
      </c>
      <c r="N24" s="5"/>
      <c r="O24" s="5" t="s">
        <v>163</v>
      </c>
      <c r="P24" s="5"/>
      <c r="Q24" s="5" t="s">
        <v>163</v>
      </c>
      <c r="R24" s="5"/>
      <c r="S24" s="5" t="s">
        <v>163</v>
      </c>
      <c r="T24" s="5"/>
      <c r="U24" s="5" t="s">
        <v>163</v>
      </c>
      <c r="V24" s="5"/>
      <c r="W24" s="78" t="s">
        <v>21</v>
      </c>
      <c r="X24" s="5"/>
      <c r="Y24" s="5" t="s">
        <v>163</v>
      </c>
      <c r="Z24" s="5"/>
      <c r="AA24" s="5" t="s">
        <v>163</v>
      </c>
      <c r="AB24" s="5"/>
      <c r="AC24" s="5" t="s">
        <v>163</v>
      </c>
      <c r="AD24" s="5"/>
      <c r="AE24" s="5" t="s">
        <v>163</v>
      </c>
      <c r="AF24" s="5"/>
      <c r="AG24" s="5" t="s">
        <v>163</v>
      </c>
      <c r="AH24" s="5"/>
      <c r="AI24" s="5" t="s">
        <v>163</v>
      </c>
      <c r="AJ24" s="5"/>
      <c r="AK24" s="5" t="s">
        <v>163</v>
      </c>
      <c r="AL24" s="5"/>
      <c r="AM24" s="5" t="s">
        <v>163</v>
      </c>
      <c r="AN24" s="5"/>
      <c r="AO24" s="5" t="s">
        <v>163</v>
      </c>
      <c r="AP24" s="5"/>
      <c r="AQ24" s="5" t="s">
        <v>163</v>
      </c>
      <c r="AR24" s="5"/>
      <c r="AS24" s="70" t="s">
        <v>163</v>
      </c>
      <c r="AT24" s="5"/>
      <c r="AU24" s="5" t="s">
        <v>163</v>
      </c>
      <c r="AV24" s="5"/>
      <c r="AW24" s="78" t="s">
        <v>21</v>
      </c>
      <c r="AX24" s="5"/>
      <c r="AY24" s="5" t="s">
        <v>163</v>
      </c>
      <c r="AZ24" s="5"/>
      <c r="BA24" s="5" t="s">
        <v>163</v>
      </c>
      <c r="BB24" s="5"/>
      <c r="BC24" s="5" t="s">
        <v>163</v>
      </c>
      <c r="BD24" s="5"/>
      <c r="BE24" s="5" t="s">
        <v>163</v>
      </c>
      <c r="BF24" s="5"/>
      <c r="BG24" s="5" t="s">
        <v>163</v>
      </c>
      <c r="BH24" s="8"/>
    </row>
    <row r="25" spans="1:60" ht="12" hidden="1">
      <c r="A25" s="28" t="s">
        <v>136</v>
      </c>
      <c r="B25" s="5"/>
      <c r="C25" s="5" t="s">
        <v>163</v>
      </c>
      <c r="D25" s="5"/>
      <c r="E25" s="5" t="s">
        <v>163</v>
      </c>
      <c r="F25" s="5"/>
      <c r="G25" s="5" t="s">
        <v>163</v>
      </c>
      <c r="H25" s="5"/>
      <c r="I25" s="5" t="s">
        <v>163</v>
      </c>
      <c r="J25" s="5"/>
      <c r="K25" s="5" t="s">
        <v>163</v>
      </c>
      <c r="L25" s="5"/>
      <c r="M25" s="5" t="s">
        <v>163</v>
      </c>
      <c r="N25" s="5"/>
      <c r="O25" s="5" t="s">
        <v>163</v>
      </c>
      <c r="P25" s="5"/>
      <c r="Q25" s="5" t="s">
        <v>163</v>
      </c>
      <c r="R25" s="5"/>
      <c r="S25" s="5" t="s">
        <v>163</v>
      </c>
      <c r="T25" s="5"/>
      <c r="U25" s="5" t="s">
        <v>163</v>
      </c>
      <c r="V25" s="5"/>
      <c r="W25" s="78" t="s">
        <v>136</v>
      </c>
      <c r="X25" s="5"/>
      <c r="Y25" s="5" t="s">
        <v>163</v>
      </c>
      <c r="Z25" s="5"/>
      <c r="AA25" s="5" t="s">
        <v>163</v>
      </c>
      <c r="AB25" s="5"/>
      <c r="AC25" s="5" t="s">
        <v>163</v>
      </c>
      <c r="AD25" s="5"/>
      <c r="AE25" s="5" t="s">
        <v>163</v>
      </c>
      <c r="AF25" s="5"/>
      <c r="AG25" s="5" t="s">
        <v>163</v>
      </c>
      <c r="AH25" s="5"/>
      <c r="AI25" s="5" t="s">
        <v>163</v>
      </c>
      <c r="AJ25" s="5"/>
      <c r="AK25" s="5" t="s">
        <v>163</v>
      </c>
      <c r="AL25" s="5"/>
      <c r="AM25" s="5" t="s">
        <v>163</v>
      </c>
      <c r="AN25" s="5"/>
      <c r="AO25" s="5" t="s">
        <v>163</v>
      </c>
      <c r="AP25" s="5"/>
      <c r="AQ25" s="5" t="s">
        <v>163</v>
      </c>
      <c r="AR25" s="5"/>
      <c r="AS25" s="70" t="s">
        <v>163</v>
      </c>
      <c r="AT25" s="5"/>
      <c r="AU25" s="5" t="s">
        <v>163</v>
      </c>
      <c r="AV25" s="5"/>
      <c r="AW25" s="78" t="s">
        <v>136</v>
      </c>
      <c r="AX25" s="5"/>
      <c r="AY25" s="5" t="s">
        <v>163</v>
      </c>
      <c r="AZ25" s="5"/>
      <c r="BA25" s="5" t="s">
        <v>163</v>
      </c>
      <c r="BB25" s="5"/>
      <c r="BC25" s="5" t="s">
        <v>163</v>
      </c>
      <c r="BD25" s="5"/>
      <c r="BE25" s="5" t="s">
        <v>163</v>
      </c>
      <c r="BF25" s="5"/>
      <c r="BG25" s="5" t="s">
        <v>163</v>
      </c>
      <c r="BH25" s="8"/>
    </row>
    <row r="26" spans="1:60" ht="12" hidden="1">
      <c r="A26" s="28" t="s">
        <v>23</v>
      </c>
      <c r="B26" s="5"/>
      <c r="C26" s="37">
        <f>G26-E26</f>
        <v>0</v>
      </c>
      <c r="D26" s="37"/>
      <c r="E26" s="37"/>
      <c r="F26" s="37"/>
      <c r="G26" s="37"/>
      <c r="H26" s="37"/>
      <c r="I26" s="37">
        <f>M26-K26</f>
        <v>0</v>
      </c>
      <c r="J26" s="37"/>
      <c r="K26" s="37">
        <f>SUM(BG26)</f>
        <v>0</v>
      </c>
      <c r="L26" s="37"/>
      <c r="M26" s="37"/>
      <c r="N26" s="37"/>
      <c r="O26" s="37"/>
      <c r="P26" s="37"/>
      <c r="Q26" s="37"/>
      <c r="R26" s="37"/>
      <c r="S26" s="37"/>
      <c r="T26" s="37"/>
      <c r="U26" s="37">
        <f>SUM(O26:S26)</f>
        <v>0</v>
      </c>
      <c r="V26" s="37"/>
      <c r="W26" s="78" t="s">
        <v>23</v>
      </c>
      <c r="X26" s="37"/>
      <c r="Y26" s="34"/>
      <c r="Z26" s="34"/>
      <c r="AA26" s="34"/>
      <c r="AB26" s="34"/>
      <c r="AC26" s="34"/>
      <c r="AD26" s="34"/>
      <c r="AE26" s="38">
        <f>+Y26-AA26-AC26</f>
        <v>0</v>
      </c>
      <c r="AF26" s="38"/>
      <c r="AG26" s="38"/>
      <c r="AH26" s="38"/>
      <c r="AI26" s="34"/>
      <c r="AJ26" s="34"/>
      <c r="AK26" s="34"/>
      <c r="AL26" s="34"/>
      <c r="AM26" s="34"/>
      <c r="AN26" s="34"/>
      <c r="AO26" s="38">
        <f>+AE26+AG26+AI26-AK26+AM26</f>
        <v>0</v>
      </c>
      <c r="AP26" s="38"/>
      <c r="AQ26" s="34"/>
      <c r="AR26" s="34"/>
      <c r="AS26" s="70" t="s">
        <v>163</v>
      </c>
      <c r="AT26" s="34"/>
      <c r="AU26" s="34">
        <f>+C26-I26</f>
        <v>0</v>
      </c>
      <c r="AV26" s="34"/>
      <c r="AW26" s="78" t="s">
        <v>23</v>
      </c>
      <c r="AX26" s="34"/>
      <c r="AY26" s="34"/>
      <c r="AZ26" s="34"/>
      <c r="BA26" s="34"/>
      <c r="BB26" s="34"/>
      <c r="BC26" s="34"/>
      <c r="BD26" s="34"/>
      <c r="BE26" s="34"/>
      <c r="BF26" s="34"/>
      <c r="BG26" s="34">
        <f>SUM(AY26:BE26)</f>
        <v>0</v>
      </c>
      <c r="BH26" s="8"/>
    </row>
    <row r="27" spans="1:60" ht="12" hidden="1">
      <c r="A27" s="28" t="s">
        <v>24</v>
      </c>
      <c r="B27" s="5"/>
      <c r="C27" s="37">
        <f>G27-E27</f>
        <v>0</v>
      </c>
      <c r="D27" s="37"/>
      <c r="E27" s="37"/>
      <c r="F27" s="37"/>
      <c r="G27" s="37"/>
      <c r="H27" s="37"/>
      <c r="I27" s="37">
        <f>M27-K27</f>
        <v>0</v>
      </c>
      <c r="J27" s="37"/>
      <c r="K27" s="37">
        <f>SUM(BG27)</f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>
        <f>SUM(O27:S27)</f>
        <v>0</v>
      </c>
      <c r="V27" s="37"/>
      <c r="W27" s="78" t="s">
        <v>24</v>
      </c>
      <c r="X27" s="37"/>
      <c r="Y27" s="34"/>
      <c r="Z27" s="34"/>
      <c r="AA27" s="34"/>
      <c r="AB27" s="34"/>
      <c r="AC27" s="34"/>
      <c r="AD27" s="34"/>
      <c r="AE27" s="38">
        <f>+Y27-AA27-AC27</f>
        <v>0</v>
      </c>
      <c r="AF27" s="38"/>
      <c r="AG27" s="38"/>
      <c r="AH27" s="38"/>
      <c r="AI27" s="34"/>
      <c r="AJ27" s="34"/>
      <c r="AK27" s="34"/>
      <c r="AL27" s="34"/>
      <c r="AM27" s="34"/>
      <c r="AN27" s="34"/>
      <c r="AO27" s="38">
        <f>+AE27+AG27+AI27-AK27+AM27</f>
        <v>0</v>
      </c>
      <c r="AP27" s="38"/>
      <c r="AQ27" s="34"/>
      <c r="AR27" s="34"/>
      <c r="AS27" s="70" t="s">
        <v>163</v>
      </c>
      <c r="AT27" s="34"/>
      <c r="AU27" s="34">
        <f>+C27-I27</f>
        <v>0</v>
      </c>
      <c r="AV27" s="34"/>
      <c r="AW27" s="78" t="s">
        <v>24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>
        <f>SUM(AY27:BE27)</f>
        <v>0</v>
      </c>
      <c r="BH27" s="8"/>
    </row>
    <row r="28" spans="1:60" ht="12" hidden="1">
      <c r="A28" s="28" t="s">
        <v>25</v>
      </c>
      <c r="B28" s="5"/>
      <c r="C28" s="37">
        <f>G28-E28</f>
        <v>0</v>
      </c>
      <c r="D28" s="37"/>
      <c r="E28" s="37"/>
      <c r="F28" s="37"/>
      <c r="G28" s="37"/>
      <c r="H28" s="37"/>
      <c r="I28" s="37">
        <f>M28-K28</f>
        <v>0</v>
      </c>
      <c r="J28" s="37"/>
      <c r="K28" s="37">
        <f>SUM(BG28)</f>
        <v>0</v>
      </c>
      <c r="L28" s="37"/>
      <c r="M28" s="37"/>
      <c r="N28" s="37"/>
      <c r="O28" s="37"/>
      <c r="P28" s="37"/>
      <c r="Q28" s="37"/>
      <c r="R28" s="37"/>
      <c r="S28" s="37"/>
      <c r="T28" s="37"/>
      <c r="U28" s="37">
        <f>SUM(O28:S28)</f>
        <v>0</v>
      </c>
      <c r="V28" s="37"/>
      <c r="W28" s="78" t="s">
        <v>25</v>
      </c>
      <c r="X28" s="37"/>
      <c r="Y28" s="34"/>
      <c r="Z28" s="34"/>
      <c r="AA28" s="34"/>
      <c r="AB28" s="34"/>
      <c r="AC28" s="34"/>
      <c r="AD28" s="34"/>
      <c r="AE28" s="38">
        <f>+Y28-AA28-AC28</f>
        <v>0</v>
      </c>
      <c r="AF28" s="38"/>
      <c r="AG28" s="38"/>
      <c r="AH28" s="38"/>
      <c r="AI28" s="34"/>
      <c r="AJ28" s="34"/>
      <c r="AK28" s="34"/>
      <c r="AL28" s="34"/>
      <c r="AM28" s="34"/>
      <c r="AN28" s="34"/>
      <c r="AO28" s="38">
        <f>+AE28+AG28+AI28-AK28+AM28</f>
        <v>0</v>
      </c>
      <c r="AP28" s="38"/>
      <c r="AQ28" s="34"/>
      <c r="AR28" s="34"/>
      <c r="AS28" s="70" t="s">
        <v>163</v>
      </c>
      <c r="AT28" s="34"/>
      <c r="AU28" s="34">
        <f>+C28-I28</f>
        <v>0</v>
      </c>
      <c r="AV28" s="34"/>
      <c r="AW28" s="78" t="s">
        <v>25</v>
      </c>
      <c r="AX28" s="34"/>
      <c r="AY28" s="34"/>
      <c r="AZ28" s="34"/>
      <c r="BA28" s="34"/>
      <c r="BB28" s="34"/>
      <c r="BC28" s="34"/>
      <c r="BD28" s="34"/>
      <c r="BE28" s="34"/>
      <c r="BF28" s="34"/>
      <c r="BG28" s="34">
        <f>SUM(AY28:BE28)</f>
        <v>0</v>
      </c>
      <c r="BH28" s="8"/>
    </row>
    <row r="29" spans="1:60" ht="12">
      <c r="A29" s="28" t="s">
        <v>192</v>
      </c>
      <c r="B29" s="5"/>
      <c r="C29" s="37">
        <f>G29-E29</f>
        <v>589845</v>
      </c>
      <c r="D29" s="37"/>
      <c r="E29" s="37">
        <f>2263248</f>
        <v>2263248</v>
      </c>
      <c r="F29" s="37"/>
      <c r="G29" s="37">
        <v>2853093</v>
      </c>
      <c r="H29" s="37"/>
      <c r="I29" s="37">
        <f>M29-K29</f>
        <v>1662554</v>
      </c>
      <c r="J29" s="37"/>
      <c r="K29" s="37">
        <f>SUM(BG29)</f>
        <v>8513412</v>
      </c>
      <c r="L29" s="37"/>
      <c r="M29" s="37">
        <v>10175966</v>
      </c>
      <c r="N29" s="37"/>
      <c r="O29" s="37">
        <v>-2879815</v>
      </c>
      <c r="P29" s="37"/>
      <c r="Q29" s="37">
        <v>0</v>
      </c>
      <c r="R29" s="37"/>
      <c r="S29" s="37">
        <v>-4443058</v>
      </c>
      <c r="T29" s="37"/>
      <c r="U29" s="37">
        <f>SUM(O29:S29)</f>
        <v>-7322873</v>
      </c>
      <c r="V29" s="37"/>
      <c r="W29" s="78" t="s">
        <v>192</v>
      </c>
      <c r="X29" s="37"/>
      <c r="Y29" s="34">
        <v>2192035</v>
      </c>
      <c r="Z29" s="34"/>
      <c r="AA29" s="34">
        <f>2271416-397349</f>
        <v>1874067</v>
      </c>
      <c r="AB29" s="34"/>
      <c r="AC29" s="34">
        <v>397349</v>
      </c>
      <c r="AD29" s="34"/>
      <c r="AE29" s="38">
        <f>+Y29-AA29-AC29</f>
        <v>-79381</v>
      </c>
      <c r="AF29" s="38"/>
      <c r="AG29" s="38">
        <v>-344183</v>
      </c>
      <c r="AH29" s="38"/>
      <c r="AI29" s="34">
        <v>3746</v>
      </c>
      <c r="AJ29" s="34"/>
      <c r="AK29" s="34">
        <v>0</v>
      </c>
      <c r="AL29" s="34"/>
      <c r="AM29" s="34">
        <v>0</v>
      </c>
      <c r="AN29" s="34"/>
      <c r="AO29" s="38">
        <f>+AE29+AG29+AI29-AK29+AM29</f>
        <v>-419818</v>
      </c>
      <c r="AP29" s="38"/>
      <c r="AQ29" s="70" t="s">
        <v>163</v>
      </c>
      <c r="AR29" s="34"/>
      <c r="AS29" s="70" t="s">
        <v>163</v>
      </c>
      <c r="AT29" s="34"/>
      <c r="AU29" s="34">
        <f>+C29-I29</f>
        <v>-1072709</v>
      </c>
      <c r="AV29" s="34"/>
      <c r="AW29" s="78" t="s">
        <v>192</v>
      </c>
      <c r="AX29" s="34"/>
      <c r="AY29" s="34">
        <v>5473774</v>
      </c>
      <c r="AZ29" s="34"/>
      <c r="BA29" s="34">
        <v>0</v>
      </c>
      <c r="BB29" s="34"/>
      <c r="BC29" s="34">
        <v>0</v>
      </c>
      <c r="BD29" s="34"/>
      <c r="BE29" s="34">
        <f>2384454+642884+12300</f>
        <v>3039638</v>
      </c>
      <c r="BF29" s="34"/>
      <c r="BG29" s="34">
        <f>SUM(AY29:BE29)</f>
        <v>8513412</v>
      </c>
      <c r="BH29" s="8"/>
    </row>
    <row r="30" spans="1:60" ht="12" hidden="1">
      <c r="A30" s="28" t="s">
        <v>26</v>
      </c>
      <c r="B30" s="5"/>
      <c r="C30" s="37">
        <f>G30-E30</f>
        <v>0</v>
      </c>
      <c r="D30" s="37"/>
      <c r="E30" s="37"/>
      <c r="F30" s="37"/>
      <c r="G30" s="37"/>
      <c r="H30" s="37"/>
      <c r="I30" s="37">
        <f>M30-K30</f>
        <v>0</v>
      </c>
      <c r="J30" s="37"/>
      <c r="K30" s="37">
        <f>SUM(BG30)</f>
        <v>0</v>
      </c>
      <c r="L30" s="37"/>
      <c r="M30" s="37"/>
      <c r="N30" s="37"/>
      <c r="O30" s="37"/>
      <c r="P30" s="37"/>
      <c r="Q30" s="37"/>
      <c r="R30" s="37"/>
      <c r="S30" s="37"/>
      <c r="T30" s="37"/>
      <c r="U30" s="37">
        <f>SUM(O30:S30)</f>
        <v>0</v>
      </c>
      <c r="V30" s="37"/>
      <c r="W30" s="78" t="s">
        <v>26</v>
      </c>
      <c r="X30" s="37"/>
      <c r="Y30" s="34"/>
      <c r="Z30" s="34"/>
      <c r="AA30" s="34"/>
      <c r="AB30" s="34"/>
      <c r="AC30" s="34"/>
      <c r="AD30" s="34"/>
      <c r="AE30" s="38">
        <f>+Y30-AA30-AC30</f>
        <v>0</v>
      </c>
      <c r="AF30" s="38"/>
      <c r="AG30" s="38"/>
      <c r="AH30" s="38"/>
      <c r="AI30" s="34"/>
      <c r="AJ30" s="34"/>
      <c r="AK30" s="34"/>
      <c r="AL30" s="34"/>
      <c r="AM30" s="34"/>
      <c r="AN30" s="34"/>
      <c r="AO30" s="38">
        <f>+AE30+AG30+AI30-AK30+AM30</f>
        <v>0</v>
      </c>
      <c r="AP30" s="38"/>
      <c r="AQ30" s="34"/>
      <c r="AR30" s="34"/>
      <c r="AS30" s="70" t="s">
        <v>163</v>
      </c>
      <c r="AT30" s="34"/>
      <c r="AU30" s="34">
        <f>+C30-I30</f>
        <v>0</v>
      </c>
      <c r="AV30" s="34"/>
      <c r="AW30" s="78" t="s">
        <v>26</v>
      </c>
      <c r="AX30" s="34"/>
      <c r="AY30" s="34"/>
      <c r="AZ30" s="34"/>
      <c r="BA30" s="34"/>
      <c r="BB30" s="34"/>
      <c r="BC30" s="34"/>
      <c r="BD30" s="34"/>
      <c r="BE30" s="34"/>
      <c r="BF30" s="34"/>
      <c r="BG30" s="34">
        <f>SUM(AY30:BE30)</f>
        <v>0</v>
      </c>
      <c r="BH30" s="8"/>
    </row>
    <row r="31" spans="1:60" ht="12" hidden="1">
      <c r="A31" s="28" t="s">
        <v>27</v>
      </c>
      <c r="B31" s="5"/>
      <c r="C31" s="5" t="s">
        <v>163</v>
      </c>
      <c r="D31" s="5"/>
      <c r="E31" s="5" t="s">
        <v>163</v>
      </c>
      <c r="F31" s="5"/>
      <c r="G31" s="5" t="s">
        <v>163</v>
      </c>
      <c r="H31" s="5"/>
      <c r="I31" s="5" t="s">
        <v>163</v>
      </c>
      <c r="J31" s="5"/>
      <c r="K31" s="5" t="s">
        <v>163</v>
      </c>
      <c r="L31" s="5"/>
      <c r="M31" s="5" t="s">
        <v>163</v>
      </c>
      <c r="N31" s="5"/>
      <c r="O31" s="5" t="s">
        <v>163</v>
      </c>
      <c r="P31" s="5"/>
      <c r="Q31" s="5" t="s">
        <v>163</v>
      </c>
      <c r="R31" s="5"/>
      <c r="S31" s="5" t="s">
        <v>163</v>
      </c>
      <c r="T31" s="5"/>
      <c r="U31" s="5" t="s">
        <v>163</v>
      </c>
      <c r="V31" s="5"/>
      <c r="W31" s="78" t="s">
        <v>27</v>
      </c>
      <c r="X31" s="5"/>
      <c r="Y31" s="5" t="s">
        <v>163</v>
      </c>
      <c r="Z31" s="5"/>
      <c r="AA31" s="5" t="s">
        <v>163</v>
      </c>
      <c r="AB31" s="5"/>
      <c r="AC31" s="5" t="s">
        <v>163</v>
      </c>
      <c r="AD31" s="5"/>
      <c r="AE31" s="5" t="s">
        <v>163</v>
      </c>
      <c r="AF31" s="5"/>
      <c r="AG31" s="5" t="s">
        <v>163</v>
      </c>
      <c r="AH31" s="5"/>
      <c r="AI31" s="5" t="s">
        <v>163</v>
      </c>
      <c r="AJ31" s="5"/>
      <c r="AK31" s="5" t="s">
        <v>163</v>
      </c>
      <c r="AL31" s="5"/>
      <c r="AM31" s="5" t="s">
        <v>163</v>
      </c>
      <c r="AN31" s="5"/>
      <c r="AO31" s="5" t="s">
        <v>163</v>
      </c>
      <c r="AP31" s="5"/>
      <c r="AQ31" s="5" t="s">
        <v>163</v>
      </c>
      <c r="AR31" s="5"/>
      <c r="AS31" s="70" t="s">
        <v>163</v>
      </c>
      <c r="AT31" s="5"/>
      <c r="AU31" s="5" t="s">
        <v>163</v>
      </c>
      <c r="AV31" s="5"/>
      <c r="AW31" s="78" t="s">
        <v>27</v>
      </c>
      <c r="AX31" s="5"/>
      <c r="AY31" s="5" t="s">
        <v>163</v>
      </c>
      <c r="AZ31" s="5"/>
      <c r="BA31" s="5" t="s">
        <v>163</v>
      </c>
      <c r="BB31" s="5"/>
      <c r="BC31" s="5" t="s">
        <v>163</v>
      </c>
      <c r="BD31" s="5"/>
      <c r="BE31" s="5" t="s">
        <v>163</v>
      </c>
      <c r="BF31" s="5"/>
      <c r="BG31" s="5" t="s">
        <v>163</v>
      </c>
      <c r="BH31" s="8"/>
    </row>
    <row r="32" spans="1:60" ht="12">
      <c r="A32" s="28" t="s">
        <v>28</v>
      </c>
      <c r="B32" s="5"/>
      <c r="C32" s="37">
        <f>G32-E32</f>
        <v>7520871</v>
      </c>
      <c r="D32" s="37"/>
      <c r="E32" s="37">
        <f>2251138+3510207+267728</f>
        <v>6029073</v>
      </c>
      <c r="F32" s="37"/>
      <c r="G32" s="37">
        <v>13549944</v>
      </c>
      <c r="H32" s="37"/>
      <c r="I32" s="37">
        <f>M32-K32</f>
        <v>338538</v>
      </c>
      <c r="J32" s="37"/>
      <c r="K32" s="37">
        <f>2212469+102000+4767+75000</f>
        <v>2394236</v>
      </c>
      <c r="L32" s="37"/>
      <c r="M32" s="37">
        <f>13549944-10817170</f>
        <v>2732774</v>
      </c>
      <c r="N32" s="37"/>
      <c r="O32" s="37">
        <v>0</v>
      </c>
      <c r="P32" s="37"/>
      <c r="Q32" s="37">
        <v>0</v>
      </c>
      <c r="R32" s="37"/>
      <c r="S32" s="37">
        <v>10817170</v>
      </c>
      <c r="T32" s="37"/>
      <c r="U32" s="37">
        <f>SUM(O32:S32)</f>
        <v>10817170</v>
      </c>
      <c r="V32" s="37"/>
      <c r="W32" s="78" t="s">
        <v>28</v>
      </c>
      <c r="X32" s="37"/>
      <c r="Y32" s="34">
        <v>2589016</v>
      </c>
      <c r="Z32" s="34"/>
      <c r="AA32" s="34">
        <v>1339058</v>
      </c>
      <c r="AB32" s="34"/>
      <c r="AC32" s="34">
        <v>262281</v>
      </c>
      <c r="AD32" s="34"/>
      <c r="AE32" s="38">
        <f>+Y32-AA32-AC32</f>
        <v>987677</v>
      </c>
      <c r="AF32" s="38"/>
      <c r="AG32" s="38">
        <v>0</v>
      </c>
      <c r="AH32" s="38"/>
      <c r="AI32" s="34">
        <v>0</v>
      </c>
      <c r="AJ32" s="34"/>
      <c r="AK32" s="34">
        <v>0</v>
      </c>
      <c r="AL32" s="34"/>
      <c r="AM32" s="34">
        <v>0</v>
      </c>
      <c r="AN32" s="34"/>
      <c r="AO32" s="38">
        <f>+AE32+AG32+AI32-AK32+AM32</f>
        <v>987677</v>
      </c>
      <c r="AP32" s="38"/>
      <c r="AQ32" s="34">
        <v>1104365</v>
      </c>
      <c r="AR32" s="34"/>
      <c r="AS32" s="70" t="s">
        <v>163</v>
      </c>
      <c r="AT32" s="34"/>
      <c r="AU32" s="34">
        <f>+C32-I32</f>
        <v>7182333</v>
      </c>
      <c r="AV32" s="34"/>
      <c r="AW32" s="78" t="s">
        <v>28</v>
      </c>
      <c r="AX32" s="34"/>
      <c r="AY32" s="34">
        <v>75000</v>
      </c>
      <c r="AZ32" s="34"/>
      <c r="BA32" s="34">
        <v>0</v>
      </c>
      <c r="BB32" s="34"/>
      <c r="BC32" s="34">
        <f>102000+4767</f>
        <v>106767</v>
      </c>
      <c r="BD32" s="34"/>
      <c r="BE32" s="34">
        <v>2212469</v>
      </c>
      <c r="BF32" s="34"/>
      <c r="BG32" s="34">
        <f>SUM(AY32:BE32)</f>
        <v>2394236</v>
      </c>
      <c r="BH32" s="8"/>
    </row>
    <row r="33" spans="1:60" ht="12" hidden="1">
      <c r="A33" s="28" t="s">
        <v>29</v>
      </c>
      <c r="B33" s="5"/>
      <c r="C33" s="5" t="s">
        <v>163</v>
      </c>
      <c r="D33" s="5"/>
      <c r="E33" s="5" t="s">
        <v>163</v>
      </c>
      <c r="F33" s="5"/>
      <c r="G33" s="5" t="s">
        <v>163</v>
      </c>
      <c r="H33" s="5"/>
      <c r="I33" s="5" t="s">
        <v>163</v>
      </c>
      <c r="J33" s="5"/>
      <c r="K33" s="5" t="s">
        <v>163</v>
      </c>
      <c r="L33" s="5"/>
      <c r="M33" s="5" t="s">
        <v>163</v>
      </c>
      <c r="N33" s="5"/>
      <c r="O33" s="5" t="s">
        <v>163</v>
      </c>
      <c r="P33" s="5"/>
      <c r="Q33" s="5" t="s">
        <v>163</v>
      </c>
      <c r="R33" s="5"/>
      <c r="S33" s="5" t="s">
        <v>163</v>
      </c>
      <c r="T33" s="5"/>
      <c r="U33" s="5" t="s">
        <v>163</v>
      </c>
      <c r="V33" s="5"/>
      <c r="W33" s="78" t="s">
        <v>29</v>
      </c>
      <c r="X33" s="5"/>
      <c r="Y33" s="5" t="s">
        <v>163</v>
      </c>
      <c r="Z33" s="5"/>
      <c r="AA33" s="5" t="s">
        <v>163</v>
      </c>
      <c r="AB33" s="5"/>
      <c r="AC33" s="5" t="s">
        <v>163</v>
      </c>
      <c r="AD33" s="5"/>
      <c r="AE33" s="5" t="s">
        <v>163</v>
      </c>
      <c r="AF33" s="5"/>
      <c r="AG33" s="5" t="s">
        <v>163</v>
      </c>
      <c r="AH33" s="5"/>
      <c r="AI33" s="5" t="s">
        <v>163</v>
      </c>
      <c r="AJ33" s="5"/>
      <c r="AK33" s="5" t="s">
        <v>163</v>
      </c>
      <c r="AL33" s="5"/>
      <c r="AM33" s="5" t="s">
        <v>163</v>
      </c>
      <c r="AN33" s="5"/>
      <c r="AO33" s="5" t="s">
        <v>163</v>
      </c>
      <c r="AP33" s="5"/>
      <c r="AQ33" s="5" t="s">
        <v>163</v>
      </c>
      <c r="AR33" s="5"/>
      <c r="AS33" s="70" t="s">
        <v>163</v>
      </c>
      <c r="AT33" s="5"/>
      <c r="AU33" s="5" t="s">
        <v>163</v>
      </c>
      <c r="AV33" s="5"/>
      <c r="AW33" s="78" t="s">
        <v>29</v>
      </c>
      <c r="AX33" s="5"/>
      <c r="AY33" s="5" t="s">
        <v>163</v>
      </c>
      <c r="AZ33" s="5"/>
      <c r="BA33" s="5" t="s">
        <v>163</v>
      </c>
      <c r="BB33" s="5"/>
      <c r="BC33" s="5" t="s">
        <v>163</v>
      </c>
      <c r="BD33" s="5"/>
      <c r="BE33" s="5" t="s">
        <v>163</v>
      </c>
      <c r="BF33" s="5"/>
      <c r="BG33" s="5" t="s">
        <v>163</v>
      </c>
      <c r="BH33" s="8"/>
    </row>
    <row r="34" spans="1:60" ht="12">
      <c r="A34" s="28" t="s">
        <v>30</v>
      </c>
      <c r="B34" s="5"/>
      <c r="C34" s="37">
        <f>G34-E34</f>
        <v>13186525</v>
      </c>
      <c r="D34" s="37"/>
      <c r="E34" s="37">
        <v>3195189</v>
      </c>
      <c r="F34" s="37"/>
      <c r="G34" s="37">
        <v>16381714</v>
      </c>
      <c r="H34" s="37"/>
      <c r="I34" s="37">
        <f>M34-K34</f>
        <v>6169650</v>
      </c>
      <c r="J34" s="37"/>
      <c r="K34" s="37">
        <f>SUM(BG34)</f>
        <v>16237025</v>
      </c>
      <c r="L34" s="37"/>
      <c r="M34" s="37">
        <v>22406675</v>
      </c>
      <c r="N34" s="37"/>
      <c r="O34" s="37">
        <v>0</v>
      </c>
      <c r="P34" s="37"/>
      <c r="Q34" s="37">
        <v>0</v>
      </c>
      <c r="R34" s="37"/>
      <c r="S34" s="37">
        <v>-6024961</v>
      </c>
      <c r="T34" s="37"/>
      <c r="U34" s="37">
        <f>SUM(O34:S34)</f>
        <v>-6024961</v>
      </c>
      <c r="V34" s="37"/>
      <c r="W34" s="78" t="s">
        <v>30</v>
      </c>
      <c r="X34" s="37"/>
      <c r="Y34" s="34">
        <v>4081264</v>
      </c>
      <c r="Z34" s="34"/>
      <c r="AA34" s="34">
        <f>3989779-908590</f>
        <v>3081189</v>
      </c>
      <c r="AB34" s="34"/>
      <c r="AC34" s="34">
        <v>908590</v>
      </c>
      <c r="AD34" s="34"/>
      <c r="AE34" s="38">
        <f>+Y34-AA34-AC34</f>
        <v>91485</v>
      </c>
      <c r="AF34" s="38"/>
      <c r="AG34" s="38">
        <f>350000-350343</f>
        <v>-343</v>
      </c>
      <c r="AH34" s="38"/>
      <c r="AI34" s="34">
        <v>0</v>
      </c>
      <c r="AJ34" s="34"/>
      <c r="AK34" s="34">
        <v>60000</v>
      </c>
      <c r="AL34" s="34"/>
      <c r="AM34" s="34">
        <v>0</v>
      </c>
      <c r="AN34" s="34"/>
      <c r="AO34" s="38">
        <f>+AE34+AG34+AI34-AK34+AM34</f>
        <v>31142</v>
      </c>
      <c r="AP34" s="38"/>
      <c r="AQ34" s="34">
        <v>433985</v>
      </c>
      <c r="AR34" s="34"/>
      <c r="AS34" s="70" t="s">
        <v>163</v>
      </c>
      <c r="AT34" s="34"/>
      <c r="AU34" s="34">
        <f>+C34-I34</f>
        <v>7016875</v>
      </c>
      <c r="AV34" s="34"/>
      <c r="AW34" s="78" t="s">
        <v>30</v>
      </c>
      <c r="AX34" s="34"/>
      <c r="AY34" s="34">
        <v>6200000</v>
      </c>
      <c r="AZ34" s="34"/>
      <c r="BA34" s="34">
        <v>0</v>
      </c>
      <c r="BB34" s="34"/>
      <c r="BC34" s="34">
        <v>0</v>
      </c>
      <c r="BD34" s="34"/>
      <c r="BE34" s="34">
        <f>322933+9714092</f>
        <v>10037025</v>
      </c>
      <c r="BF34" s="34"/>
      <c r="BG34" s="34">
        <f>SUM(AY34:BE34)</f>
        <v>16237025</v>
      </c>
      <c r="BH34" s="8"/>
    </row>
    <row r="35" spans="1:60" ht="12" hidden="1">
      <c r="A35" s="28" t="s">
        <v>31</v>
      </c>
      <c r="B35" s="5"/>
      <c r="C35" s="5" t="s">
        <v>163</v>
      </c>
      <c r="D35" s="5"/>
      <c r="E35" s="5" t="s">
        <v>163</v>
      </c>
      <c r="F35" s="5"/>
      <c r="G35" s="5" t="s">
        <v>163</v>
      </c>
      <c r="H35" s="5"/>
      <c r="I35" s="5" t="s">
        <v>163</v>
      </c>
      <c r="J35" s="5"/>
      <c r="K35" s="5" t="s">
        <v>163</v>
      </c>
      <c r="L35" s="5"/>
      <c r="M35" s="5" t="s">
        <v>163</v>
      </c>
      <c r="N35" s="5"/>
      <c r="O35" s="5" t="s">
        <v>163</v>
      </c>
      <c r="P35" s="5"/>
      <c r="Q35" s="5" t="s">
        <v>163</v>
      </c>
      <c r="R35" s="5"/>
      <c r="S35" s="5" t="s">
        <v>163</v>
      </c>
      <c r="T35" s="5"/>
      <c r="U35" s="5" t="s">
        <v>163</v>
      </c>
      <c r="V35" s="5"/>
      <c r="W35" s="78" t="s">
        <v>31</v>
      </c>
      <c r="X35" s="5"/>
      <c r="Y35" s="5" t="s">
        <v>163</v>
      </c>
      <c r="Z35" s="5"/>
      <c r="AA35" s="5" t="s">
        <v>163</v>
      </c>
      <c r="AB35" s="5"/>
      <c r="AC35" s="5" t="s">
        <v>163</v>
      </c>
      <c r="AD35" s="5"/>
      <c r="AE35" s="5" t="s">
        <v>163</v>
      </c>
      <c r="AF35" s="5"/>
      <c r="AG35" s="5" t="s">
        <v>163</v>
      </c>
      <c r="AH35" s="5"/>
      <c r="AI35" s="5" t="s">
        <v>163</v>
      </c>
      <c r="AJ35" s="5"/>
      <c r="AK35" s="5" t="s">
        <v>163</v>
      </c>
      <c r="AL35" s="5"/>
      <c r="AM35" s="5" t="s">
        <v>163</v>
      </c>
      <c r="AN35" s="5"/>
      <c r="AO35" s="5" t="s">
        <v>163</v>
      </c>
      <c r="AP35" s="5"/>
      <c r="AQ35" s="5" t="s">
        <v>163</v>
      </c>
      <c r="AR35" s="5"/>
      <c r="AS35" s="70" t="s">
        <v>163</v>
      </c>
      <c r="AT35" s="5"/>
      <c r="AU35" s="5" t="s">
        <v>163</v>
      </c>
      <c r="AV35" s="5"/>
      <c r="AW35" s="78" t="s">
        <v>31</v>
      </c>
      <c r="AX35" s="5"/>
      <c r="AY35" s="5" t="s">
        <v>163</v>
      </c>
      <c r="AZ35" s="5"/>
      <c r="BA35" s="5" t="s">
        <v>163</v>
      </c>
      <c r="BB35" s="5"/>
      <c r="BC35" s="5" t="s">
        <v>163</v>
      </c>
      <c r="BD35" s="5"/>
      <c r="BE35" s="5" t="s">
        <v>163</v>
      </c>
      <c r="BF35" s="5"/>
      <c r="BG35" s="5" t="s">
        <v>163</v>
      </c>
      <c r="BH35" s="8"/>
    </row>
    <row r="36" spans="1:60" ht="12" hidden="1">
      <c r="A36" s="28" t="s">
        <v>32</v>
      </c>
      <c r="B36" s="5"/>
      <c r="C36" s="5" t="s">
        <v>163</v>
      </c>
      <c r="D36" s="5"/>
      <c r="E36" s="5" t="s">
        <v>163</v>
      </c>
      <c r="F36" s="5"/>
      <c r="G36" s="5" t="s">
        <v>163</v>
      </c>
      <c r="H36" s="5"/>
      <c r="I36" s="5" t="s">
        <v>163</v>
      </c>
      <c r="J36" s="5"/>
      <c r="K36" s="5" t="s">
        <v>163</v>
      </c>
      <c r="L36" s="5"/>
      <c r="M36" s="5" t="s">
        <v>163</v>
      </c>
      <c r="N36" s="5"/>
      <c r="O36" s="5" t="s">
        <v>163</v>
      </c>
      <c r="P36" s="5"/>
      <c r="Q36" s="5" t="s">
        <v>163</v>
      </c>
      <c r="R36" s="5"/>
      <c r="S36" s="5" t="s">
        <v>163</v>
      </c>
      <c r="T36" s="5"/>
      <c r="U36" s="5" t="s">
        <v>163</v>
      </c>
      <c r="V36" s="5"/>
      <c r="W36" s="78" t="s">
        <v>32</v>
      </c>
      <c r="X36" s="5"/>
      <c r="Y36" s="5" t="s">
        <v>163</v>
      </c>
      <c r="Z36" s="5"/>
      <c r="AA36" s="5" t="s">
        <v>163</v>
      </c>
      <c r="AB36" s="5"/>
      <c r="AC36" s="5" t="s">
        <v>163</v>
      </c>
      <c r="AD36" s="5"/>
      <c r="AE36" s="5" t="s">
        <v>163</v>
      </c>
      <c r="AF36" s="5"/>
      <c r="AG36" s="5" t="s">
        <v>163</v>
      </c>
      <c r="AH36" s="5"/>
      <c r="AI36" s="5" t="s">
        <v>163</v>
      </c>
      <c r="AJ36" s="5"/>
      <c r="AK36" s="5" t="s">
        <v>163</v>
      </c>
      <c r="AL36" s="5"/>
      <c r="AM36" s="5" t="s">
        <v>163</v>
      </c>
      <c r="AN36" s="5"/>
      <c r="AO36" s="5" t="s">
        <v>163</v>
      </c>
      <c r="AP36" s="5"/>
      <c r="AQ36" s="5" t="s">
        <v>163</v>
      </c>
      <c r="AR36" s="5"/>
      <c r="AS36" s="70" t="s">
        <v>163</v>
      </c>
      <c r="AT36" s="5"/>
      <c r="AU36" s="5" t="s">
        <v>163</v>
      </c>
      <c r="AV36" s="5"/>
      <c r="AW36" s="78" t="s">
        <v>32</v>
      </c>
      <c r="AX36" s="5"/>
      <c r="AY36" s="5" t="s">
        <v>163</v>
      </c>
      <c r="AZ36" s="5"/>
      <c r="BA36" s="5" t="s">
        <v>163</v>
      </c>
      <c r="BB36" s="5"/>
      <c r="BC36" s="5" t="s">
        <v>163</v>
      </c>
      <c r="BD36" s="5"/>
      <c r="BE36" s="5" t="s">
        <v>163</v>
      </c>
      <c r="BF36" s="5"/>
      <c r="BG36" s="5" t="s">
        <v>163</v>
      </c>
      <c r="BH36" s="8"/>
    </row>
    <row r="37" spans="1:60" ht="12" hidden="1">
      <c r="A37" s="28" t="s">
        <v>33</v>
      </c>
      <c r="B37" s="5"/>
      <c r="C37" s="5" t="s">
        <v>163</v>
      </c>
      <c r="D37" s="5"/>
      <c r="E37" s="5" t="s">
        <v>163</v>
      </c>
      <c r="F37" s="5"/>
      <c r="G37" s="5" t="s">
        <v>163</v>
      </c>
      <c r="H37" s="5"/>
      <c r="I37" s="5" t="s">
        <v>163</v>
      </c>
      <c r="J37" s="5"/>
      <c r="K37" s="5" t="s">
        <v>163</v>
      </c>
      <c r="L37" s="5"/>
      <c r="M37" s="5" t="s">
        <v>163</v>
      </c>
      <c r="N37" s="5"/>
      <c r="O37" s="5" t="s">
        <v>163</v>
      </c>
      <c r="P37" s="5"/>
      <c r="Q37" s="5" t="s">
        <v>163</v>
      </c>
      <c r="R37" s="5"/>
      <c r="S37" s="5" t="s">
        <v>163</v>
      </c>
      <c r="T37" s="5"/>
      <c r="U37" s="5" t="s">
        <v>163</v>
      </c>
      <c r="V37" s="5"/>
      <c r="W37" s="78" t="s">
        <v>33</v>
      </c>
      <c r="X37" s="5"/>
      <c r="Y37" s="5" t="s">
        <v>163</v>
      </c>
      <c r="Z37" s="5"/>
      <c r="AA37" s="5" t="s">
        <v>163</v>
      </c>
      <c r="AB37" s="5"/>
      <c r="AC37" s="5" t="s">
        <v>163</v>
      </c>
      <c r="AD37" s="5"/>
      <c r="AE37" s="5" t="s">
        <v>163</v>
      </c>
      <c r="AF37" s="5"/>
      <c r="AG37" s="5" t="s">
        <v>163</v>
      </c>
      <c r="AH37" s="5"/>
      <c r="AI37" s="5" t="s">
        <v>163</v>
      </c>
      <c r="AJ37" s="5"/>
      <c r="AK37" s="5" t="s">
        <v>163</v>
      </c>
      <c r="AL37" s="5"/>
      <c r="AM37" s="5" t="s">
        <v>163</v>
      </c>
      <c r="AN37" s="5"/>
      <c r="AO37" s="5" t="s">
        <v>163</v>
      </c>
      <c r="AP37" s="5"/>
      <c r="AQ37" s="5" t="s">
        <v>163</v>
      </c>
      <c r="AR37" s="5"/>
      <c r="AS37" s="70" t="s">
        <v>163</v>
      </c>
      <c r="AT37" s="5"/>
      <c r="AU37" s="5" t="s">
        <v>163</v>
      </c>
      <c r="AV37" s="5"/>
      <c r="AW37" s="78" t="s">
        <v>33</v>
      </c>
      <c r="AX37" s="5"/>
      <c r="AY37" s="5" t="s">
        <v>163</v>
      </c>
      <c r="AZ37" s="5"/>
      <c r="BA37" s="5" t="s">
        <v>163</v>
      </c>
      <c r="BB37" s="5"/>
      <c r="BC37" s="5" t="s">
        <v>163</v>
      </c>
      <c r="BD37" s="5"/>
      <c r="BE37" s="5" t="s">
        <v>163</v>
      </c>
      <c r="BF37" s="5"/>
      <c r="BG37" s="5" t="s">
        <v>163</v>
      </c>
      <c r="BH37" s="8"/>
    </row>
    <row r="38" spans="1:60" ht="12" hidden="1">
      <c r="A38" s="28" t="s">
        <v>34</v>
      </c>
      <c r="B38" s="5"/>
      <c r="C38" s="37">
        <f>G38-E38</f>
        <v>0</v>
      </c>
      <c r="D38" s="37"/>
      <c r="E38" s="37"/>
      <c r="F38" s="37"/>
      <c r="G38" s="37"/>
      <c r="H38" s="37"/>
      <c r="I38" s="37">
        <f>M38-K38</f>
        <v>0</v>
      </c>
      <c r="J38" s="37"/>
      <c r="K38" s="37">
        <f>SUM(BG38)</f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>
        <f>SUM(O38:S38)</f>
        <v>0</v>
      </c>
      <c r="V38" s="37"/>
      <c r="W38" s="78" t="s">
        <v>34</v>
      </c>
      <c r="X38" s="37"/>
      <c r="Y38" s="34"/>
      <c r="Z38" s="34"/>
      <c r="AA38" s="34"/>
      <c r="AB38" s="34"/>
      <c r="AC38" s="34"/>
      <c r="AD38" s="34"/>
      <c r="AE38" s="38">
        <f>+Y38-AA38-AC38</f>
        <v>0</v>
      </c>
      <c r="AF38" s="38"/>
      <c r="AG38" s="38"/>
      <c r="AH38" s="38"/>
      <c r="AI38" s="34"/>
      <c r="AJ38" s="34"/>
      <c r="AK38" s="34"/>
      <c r="AL38" s="34"/>
      <c r="AM38" s="34"/>
      <c r="AN38" s="34"/>
      <c r="AO38" s="38">
        <f>+AE38+AG38+AI38-AK38+AM38</f>
        <v>0</v>
      </c>
      <c r="AP38" s="38"/>
      <c r="AQ38" s="34"/>
      <c r="AR38" s="34"/>
      <c r="AS38" s="70" t="s">
        <v>163</v>
      </c>
      <c r="AT38" s="34"/>
      <c r="AU38" s="34">
        <f>+C38-I38</f>
        <v>0</v>
      </c>
      <c r="AV38" s="34"/>
      <c r="AW38" s="78" t="s">
        <v>34</v>
      </c>
      <c r="AX38" s="34"/>
      <c r="AY38" s="34"/>
      <c r="AZ38" s="34"/>
      <c r="BA38" s="34"/>
      <c r="BB38" s="34"/>
      <c r="BC38" s="34"/>
      <c r="BD38" s="34"/>
      <c r="BE38" s="34"/>
      <c r="BF38" s="34"/>
      <c r="BG38" s="34">
        <f>SUM(AY38:BE38)</f>
        <v>0</v>
      </c>
      <c r="BH38" s="8"/>
    </row>
    <row r="39" spans="1:60" ht="12" hidden="1">
      <c r="A39" s="28" t="s">
        <v>35</v>
      </c>
      <c r="B39" s="5"/>
      <c r="C39" s="37">
        <f>G39-E39</f>
        <v>0</v>
      </c>
      <c r="D39" s="37"/>
      <c r="E39" s="37"/>
      <c r="F39" s="37"/>
      <c r="G39" s="37"/>
      <c r="H39" s="37"/>
      <c r="I39" s="37">
        <f>M39-K39</f>
        <v>0</v>
      </c>
      <c r="J39" s="37"/>
      <c r="K39" s="37">
        <f>SUM(BG39)</f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>
        <f>SUM(O39:S39)</f>
        <v>0</v>
      </c>
      <c r="V39" s="37"/>
      <c r="W39" s="78" t="s">
        <v>35</v>
      </c>
      <c r="X39" s="37"/>
      <c r="Y39" s="34"/>
      <c r="Z39" s="34"/>
      <c r="AA39" s="34"/>
      <c r="AB39" s="34"/>
      <c r="AC39" s="34"/>
      <c r="AD39" s="34"/>
      <c r="AE39" s="38">
        <f>+Y39-AA39-AC39</f>
        <v>0</v>
      </c>
      <c r="AF39" s="38"/>
      <c r="AG39" s="38"/>
      <c r="AH39" s="38"/>
      <c r="AI39" s="34"/>
      <c r="AJ39" s="34"/>
      <c r="AK39" s="34"/>
      <c r="AL39" s="34"/>
      <c r="AM39" s="34"/>
      <c r="AN39" s="34"/>
      <c r="AO39" s="38">
        <f>+AE39+AG39+AI39-AK39+AM39</f>
        <v>0</v>
      </c>
      <c r="AP39" s="38"/>
      <c r="AQ39" s="34"/>
      <c r="AR39" s="34"/>
      <c r="AS39" s="70" t="s">
        <v>163</v>
      </c>
      <c r="AT39" s="34"/>
      <c r="AU39" s="34">
        <f>+C39-I39</f>
        <v>0</v>
      </c>
      <c r="AV39" s="34"/>
      <c r="AW39" s="78" t="s">
        <v>35</v>
      </c>
      <c r="AX39" s="34"/>
      <c r="AY39" s="34"/>
      <c r="AZ39" s="34"/>
      <c r="BA39" s="34"/>
      <c r="BB39" s="34"/>
      <c r="BC39" s="34"/>
      <c r="BD39" s="34"/>
      <c r="BE39" s="34"/>
      <c r="BF39" s="34"/>
      <c r="BG39" s="34">
        <f>SUM(AY39:BE39)</f>
        <v>0</v>
      </c>
      <c r="BH39" s="8"/>
    </row>
    <row r="40" spans="1:60" ht="12" hidden="1">
      <c r="A40" s="28" t="s">
        <v>36</v>
      </c>
      <c r="B40" s="5"/>
      <c r="C40" s="5" t="s">
        <v>163</v>
      </c>
      <c r="D40" s="5"/>
      <c r="E40" s="5" t="s">
        <v>163</v>
      </c>
      <c r="F40" s="5"/>
      <c r="G40" s="5" t="s">
        <v>163</v>
      </c>
      <c r="H40" s="5"/>
      <c r="I40" s="5" t="s">
        <v>163</v>
      </c>
      <c r="J40" s="5"/>
      <c r="K40" s="5" t="s">
        <v>163</v>
      </c>
      <c r="L40" s="5"/>
      <c r="M40" s="5" t="s">
        <v>163</v>
      </c>
      <c r="N40" s="5"/>
      <c r="O40" s="5" t="s">
        <v>163</v>
      </c>
      <c r="P40" s="5"/>
      <c r="Q40" s="5" t="s">
        <v>163</v>
      </c>
      <c r="R40" s="5"/>
      <c r="S40" s="5" t="s">
        <v>163</v>
      </c>
      <c r="T40" s="5"/>
      <c r="U40" s="5" t="s">
        <v>163</v>
      </c>
      <c r="V40" s="5"/>
      <c r="W40" s="78" t="s">
        <v>36</v>
      </c>
      <c r="X40" s="5"/>
      <c r="Y40" s="5" t="s">
        <v>163</v>
      </c>
      <c r="Z40" s="5"/>
      <c r="AA40" s="5" t="s">
        <v>163</v>
      </c>
      <c r="AB40" s="5"/>
      <c r="AC40" s="5" t="s">
        <v>163</v>
      </c>
      <c r="AD40" s="5"/>
      <c r="AE40" s="5" t="s">
        <v>163</v>
      </c>
      <c r="AF40" s="5"/>
      <c r="AG40" s="5" t="s">
        <v>163</v>
      </c>
      <c r="AH40" s="5"/>
      <c r="AI40" s="5" t="s">
        <v>163</v>
      </c>
      <c r="AJ40" s="5"/>
      <c r="AK40" s="5" t="s">
        <v>163</v>
      </c>
      <c r="AL40" s="5"/>
      <c r="AM40" s="5" t="s">
        <v>163</v>
      </c>
      <c r="AN40" s="5"/>
      <c r="AO40" s="5" t="s">
        <v>163</v>
      </c>
      <c r="AP40" s="5"/>
      <c r="AQ40" s="5" t="s">
        <v>163</v>
      </c>
      <c r="AR40" s="5"/>
      <c r="AS40" s="70" t="s">
        <v>163</v>
      </c>
      <c r="AT40" s="5"/>
      <c r="AU40" s="5" t="s">
        <v>163</v>
      </c>
      <c r="AV40" s="5"/>
      <c r="AW40" s="78" t="s">
        <v>36</v>
      </c>
      <c r="AX40" s="5"/>
      <c r="AY40" s="5" t="s">
        <v>163</v>
      </c>
      <c r="AZ40" s="5"/>
      <c r="BA40" s="5" t="s">
        <v>163</v>
      </c>
      <c r="BB40" s="5"/>
      <c r="BC40" s="5" t="s">
        <v>163</v>
      </c>
      <c r="BD40" s="5"/>
      <c r="BE40" s="5" t="s">
        <v>163</v>
      </c>
      <c r="BF40" s="5"/>
      <c r="BG40" s="5" t="s">
        <v>163</v>
      </c>
      <c r="BH40" s="8"/>
    </row>
    <row r="41" spans="1:60" ht="12" hidden="1">
      <c r="A41" s="28" t="s">
        <v>137</v>
      </c>
      <c r="B41" s="5"/>
      <c r="C41" s="5" t="s">
        <v>163</v>
      </c>
      <c r="D41" s="5"/>
      <c r="E41" s="5" t="s">
        <v>163</v>
      </c>
      <c r="F41" s="5"/>
      <c r="G41" s="5" t="s">
        <v>163</v>
      </c>
      <c r="H41" s="5"/>
      <c r="I41" s="5" t="s">
        <v>163</v>
      </c>
      <c r="J41" s="5"/>
      <c r="K41" s="5" t="s">
        <v>163</v>
      </c>
      <c r="L41" s="5"/>
      <c r="M41" s="5" t="s">
        <v>163</v>
      </c>
      <c r="N41" s="5"/>
      <c r="O41" s="5" t="s">
        <v>163</v>
      </c>
      <c r="P41" s="5"/>
      <c r="Q41" s="5" t="s">
        <v>163</v>
      </c>
      <c r="R41" s="5"/>
      <c r="S41" s="5" t="s">
        <v>163</v>
      </c>
      <c r="T41" s="5"/>
      <c r="U41" s="5" t="s">
        <v>163</v>
      </c>
      <c r="V41" s="5"/>
      <c r="W41" s="78" t="s">
        <v>137</v>
      </c>
      <c r="X41" s="5"/>
      <c r="Y41" s="5" t="s">
        <v>163</v>
      </c>
      <c r="Z41" s="5"/>
      <c r="AA41" s="5" t="s">
        <v>163</v>
      </c>
      <c r="AB41" s="5"/>
      <c r="AC41" s="5" t="s">
        <v>163</v>
      </c>
      <c r="AD41" s="5"/>
      <c r="AE41" s="5" t="s">
        <v>163</v>
      </c>
      <c r="AF41" s="5"/>
      <c r="AG41" s="5" t="s">
        <v>163</v>
      </c>
      <c r="AH41" s="5"/>
      <c r="AI41" s="5" t="s">
        <v>163</v>
      </c>
      <c r="AJ41" s="5"/>
      <c r="AK41" s="5" t="s">
        <v>163</v>
      </c>
      <c r="AL41" s="5"/>
      <c r="AM41" s="5" t="s">
        <v>163</v>
      </c>
      <c r="AN41" s="5"/>
      <c r="AO41" s="5" t="s">
        <v>163</v>
      </c>
      <c r="AP41" s="5"/>
      <c r="AQ41" s="5" t="s">
        <v>163</v>
      </c>
      <c r="AR41" s="5"/>
      <c r="AS41" s="70" t="s">
        <v>163</v>
      </c>
      <c r="AT41" s="5"/>
      <c r="AU41" s="5" t="s">
        <v>163</v>
      </c>
      <c r="AV41" s="5"/>
      <c r="AW41" s="78" t="s">
        <v>137</v>
      </c>
      <c r="AX41" s="5"/>
      <c r="AY41" s="5" t="s">
        <v>163</v>
      </c>
      <c r="AZ41" s="5"/>
      <c r="BA41" s="5" t="s">
        <v>163</v>
      </c>
      <c r="BB41" s="5"/>
      <c r="BC41" s="5" t="s">
        <v>163</v>
      </c>
      <c r="BD41" s="5"/>
      <c r="BE41" s="5" t="s">
        <v>163</v>
      </c>
      <c r="BF41" s="5"/>
      <c r="BG41" s="5" t="s">
        <v>163</v>
      </c>
      <c r="BH41" s="8"/>
    </row>
    <row r="42" spans="1:60" ht="12" hidden="1">
      <c r="A42" s="28" t="s">
        <v>37</v>
      </c>
      <c r="B42" s="5"/>
      <c r="C42" s="5" t="s">
        <v>163</v>
      </c>
      <c r="D42" s="5"/>
      <c r="E42" s="5" t="s">
        <v>163</v>
      </c>
      <c r="F42" s="5"/>
      <c r="G42" s="5" t="s">
        <v>163</v>
      </c>
      <c r="H42" s="5"/>
      <c r="I42" s="5" t="s">
        <v>163</v>
      </c>
      <c r="J42" s="5"/>
      <c r="K42" s="5" t="s">
        <v>163</v>
      </c>
      <c r="L42" s="5"/>
      <c r="M42" s="5" t="s">
        <v>163</v>
      </c>
      <c r="N42" s="5"/>
      <c r="O42" s="5" t="s">
        <v>163</v>
      </c>
      <c r="P42" s="5"/>
      <c r="Q42" s="5" t="s">
        <v>163</v>
      </c>
      <c r="R42" s="5"/>
      <c r="S42" s="5" t="s">
        <v>163</v>
      </c>
      <c r="T42" s="5"/>
      <c r="U42" s="5" t="s">
        <v>163</v>
      </c>
      <c r="V42" s="5"/>
      <c r="W42" s="78" t="s">
        <v>37</v>
      </c>
      <c r="X42" s="5"/>
      <c r="Y42" s="5" t="s">
        <v>163</v>
      </c>
      <c r="Z42" s="5"/>
      <c r="AA42" s="5" t="s">
        <v>163</v>
      </c>
      <c r="AB42" s="5"/>
      <c r="AC42" s="5" t="s">
        <v>163</v>
      </c>
      <c r="AD42" s="5"/>
      <c r="AE42" s="5" t="s">
        <v>163</v>
      </c>
      <c r="AF42" s="5"/>
      <c r="AG42" s="5" t="s">
        <v>163</v>
      </c>
      <c r="AH42" s="5"/>
      <c r="AI42" s="5" t="s">
        <v>163</v>
      </c>
      <c r="AJ42" s="5"/>
      <c r="AK42" s="5" t="s">
        <v>163</v>
      </c>
      <c r="AL42" s="5"/>
      <c r="AM42" s="5" t="s">
        <v>163</v>
      </c>
      <c r="AN42" s="5"/>
      <c r="AO42" s="5" t="s">
        <v>163</v>
      </c>
      <c r="AP42" s="5"/>
      <c r="AQ42" s="5" t="s">
        <v>163</v>
      </c>
      <c r="AR42" s="5"/>
      <c r="AS42" s="70" t="s">
        <v>163</v>
      </c>
      <c r="AT42" s="5"/>
      <c r="AU42" s="5" t="s">
        <v>163</v>
      </c>
      <c r="AV42" s="5"/>
      <c r="AW42" s="78" t="s">
        <v>37</v>
      </c>
      <c r="AX42" s="5"/>
      <c r="AY42" s="5" t="s">
        <v>163</v>
      </c>
      <c r="AZ42" s="5"/>
      <c r="BA42" s="5" t="s">
        <v>163</v>
      </c>
      <c r="BB42" s="5"/>
      <c r="BC42" s="5" t="s">
        <v>163</v>
      </c>
      <c r="BD42" s="5"/>
      <c r="BE42" s="5" t="s">
        <v>163</v>
      </c>
      <c r="BF42" s="5"/>
      <c r="BG42" s="5" t="s">
        <v>163</v>
      </c>
      <c r="BH42" s="8"/>
    </row>
    <row r="43" spans="1:60" ht="12" hidden="1">
      <c r="A43" s="28" t="s">
        <v>38</v>
      </c>
      <c r="B43" s="5"/>
      <c r="C43" s="5" t="s">
        <v>163</v>
      </c>
      <c r="D43" s="5"/>
      <c r="E43" s="5" t="s">
        <v>163</v>
      </c>
      <c r="F43" s="5"/>
      <c r="G43" s="5" t="s">
        <v>163</v>
      </c>
      <c r="H43" s="5"/>
      <c r="I43" s="5" t="s">
        <v>163</v>
      </c>
      <c r="J43" s="5"/>
      <c r="K43" s="5" t="s">
        <v>163</v>
      </c>
      <c r="L43" s="5"/>
      <c r="M43" s="5" t="s">
        <v>163</v>
      </c>
      <c r="N43" s="5"/>
      <c r="O43" s="5" t="s">
        <v>163</v>
      </c>
      <c r="P43" s="5"/>
      <c r="Q43" s="5" t="s">
        <v>163</v>
      </c>
      <c r="R43" s="5"/>
      <c r="S43" s="5" t="s">
        <v>163</v>
      </c>
      <c r="T43" s="5"/>
      <c r="U43" s="5" t="s">
        <v>163</v>
      </c>
      <c r="V43" s="5"/>
      <c r="W43" s="78" t="s">
        <v>38</v>
      </c>
      <c r="X43" s="5"/>
      <c r="Y43" s="5" t="s">
        <v>163</v>
      </c>
      <c r="Z43" s="5"/>
      <c r="AA43" s="5" t="s">
        <v>163</v>
      </c>
      <c r="AB43" s="5"/>
      <c r="AC43" s="5" t="s">
        <v>163</v>
      </c>
      <c r="AD43" s="5"/>
      <c r="AE43" s="5" t="s">
        <v>163</v>
      </c>
      <c r="AF43" s="5"/>
      <c r="AG43" s="5" t="s">
        <v>163</v>
      </c>
      <c r="AH43" s="5"/>
      <c r="AI43" s="5" t="s">
        <v>163</v>
      </c>
      <c r="AJ43" s="5"/>
      <c r="AK43" s="5" t="s">
        <v>163</v>
      </c>
      <c r="AL43" s="5"/>
      <c r="AM43" s="5" t="s">
        <v>163</v>
      </c>
      <c r="AN43" s="5"/>
      <c r="AO43" s="5" t="s">
        <v>163</v>
      </c>
      <c r="AP43" s="5"/>
      <c r="AQ43" s="5" t="s">
        <v>163</v>
      </c>
      <c r="AR43" s="5"/>
      <c r="AS43" s="70" t="s">
        <v>163</v>
      </c>
      <c r="AT43" s="5"/>
      <c r="AU43" s="5" t="s">
        <v>163</v>
      </c>
      <c r="AV43" s="5"/>
      <c r="AW43" s="78" t="s">
        <v>38</v>
      </c>
      <c r="AX43" s="5"/>
      <c r="AY43" s="5" t="s">
        <v>163</v>
      </c>
      <c r="AZ43" s="5"/>
      <c r="BA43" s="5" t="s">
        <v>163</v>
      </c>
      <c r="BB43" s="5"/>
      <c r="BC43" s="5" t="s">
        <v>163</v>
      </c>
      <c r="BD43" s="5"/>
      <c r="BE43" s="5" t="s">
        <v>163</v>
      </c>
      <c r="BF43" s="5"/>
      <c r="BG43" s="5" t="s">
        <v>163</v>
      </c>
      <c r="BH43" s="8"/>
    </row>
    <row r="44" spans="1:60" ht="12">
      <c r="A44" s="28" t="s">
        <v>39</v>
      </c>
      <c r="B44" s="5"/>
      <c r="C44" s="37">
        <f>G44-E44</f>
        <v>1650040</v>
      </c>
      <c r="D44" s="37"/>
      <c r="E44" s="37">
        <v>4865021</v>
      </c>
      <c r="F44" s="37"/>
      <c r="G44" s="37">
        <v>6515061</v>
      </c>
      <c r="H44" s="37"/>
      <c r="I44" s="37">
        <f>M44-K44</f>
        <v>198263</v>
      </c>
      <c r="J44" s="37"/>
      <c r="K44" s="37">
        <f>SUM(BG44)</f>
        <v>1501837</v>
      </c>
      <c r="L44" s="37"/>
      <c r="M44" s="37">
        <v>1700100</v>
      </c>
      <c r="N44" s="37"/>
      <c r="O44" s="37">
        <v>1049616</v>
      </c>
      <c r="P44" s="37"/>
      <c r="Q44" s="37">
        <v>0</v>
      </c>
      <c r="R44" s="37"/>
      <c r="S44" s="37">
        <v>3765345</v>
      </c>
      <c r="T44" s="37"/>
      <c r="U44" s="37">
        <f>SUM(O44:S44)</f>
        <v>4814961</v>
      </c>
      <c r="V44" s="37"/>
      <c r="W44" s="78" t="s">
        <v>39</v>
      </c>
      <c r="X44" s="37"/>
      <c r="Y44" s="34">
        <v>2518602</v>
      </c>
      <c r="Z44" s="34"/>
      <c r="AA44" s="34">
        <f>2326588-208230</f>
        <v>2118358</v>
      </c>
      <c r="AB44" s="34"/>
      <c r="AC44" s="34">
        <v>208230</v>
      </c>
      <c r="AD44" s="34"/>
      <c r="AE44" s="38">
        <f>+Y44-AA44-AC44</f>
        <v>192014</v>
      </c>
      <c r="AF44" s="38"/>
      <c r="AG44" s="38">
        <v>327935</v>
      </c>
      <c r="AH44" s="38"/>
      <c r="AI44" s="34">
        <v>0</v>
      </c>
      <c r="AJ44" s="34"/>
      <c r="AK44" s="34">
        <v>0</v>
      </c>
      <c r="AL44" s="34"/>
      <c r="AM44" s="34">
        <v>0</v>
      </c>
      <c r="AN44" s="34"/>
      <c r="AO44" s="38">
        <f>+AE44+AG44+AI44-AK44+AM44</f>
        <v>519949</v>
      </c>
      <c r="AP44" s="38"/>
      <c r="AQ44" s="70" t="s">
        <v>163</v>
      </c>
      <c r="AR44" s="34"/>
      <c r="AS44" s="70" t="s">
        <v>163</v>
      </c>
      <c r="AT44" s="34"/>
      <c r="AU44" s="34">
        <f>+C44-I44</f>
        <v>1451777</v>
      </c>
      <c r="AV44" s="34"/>
      <c r="AW44" s="78" t="s">
        <v>39</v>
      </c>
      <c r="AX44" s="34"/>
      <c r="AY44" s="34">
        <v>240000</v>
      </c>
      <c r="AZ44" s="34"/>
      <c r="BA44" s="34">
        <v>0</v>
      </c>
      <c r="BB44" s="34"/>
      <c r="BC44" s="34">
        <v>0</v>
      </c>
      <c r="BD44" s="34"/>
      <c r="BE44" s="34">
        <f>1121961+139876</f>
        <v>1261837</v>
      </c>
      <c r="BF44" s="34"/>
      <c r="BG44" s="34">
        <f>SUM(AY44:BE44)</f>
        <v>1501837</v>
      </c>
      <c r="BH44" s="8"/>
    </row>
    <row r="45" spans="1:60" ht="12" hidden="1">
      <c r="A45" s="28" t="s">
        <v>169</v>
      </c>
      <c r="B45" s="5"/>
      <c r="C45" s="5" t="s">
        <v>163</v>
      </c>
      <c r="D45" s="5"/>
      <c r="E45" s="5" t="s">
        <v>163</v>
      </c>
      <c r="F45" s="5"/>
      <c r="G45" s="5" t="s">
        <v>163</v>
      </c>
      <c r="H45" s="5"/>
      <c r="I45" s="5" t="s">
        <v>163</v>
      </c>
      <c r="J45" s="5"/>
      <c r="K45" s="5" t="s">
        <v>163</v>
      </c>
      <c r="L45" s="5"/>
      <c r="M45" s="5" t="s">
        <v>163</v>
      </c>
      <c r="N45" s="5"/>
      <c r="O45" s="5" t="s">
        <v>163</v>
      </c>
      <c r="P45" s="5"/>
      <c r="Q45" s="5" t="s">
        <v>163</v>
      </c>
      <c r="R45" s="5"/>
      <c r="S45" s="5" t="s">
        <v>163</v>
      </c>
      <c r="T45" s="5"/>
      <c r="U45" s="5" t="s">
        <v>163</v>
      </c>
      <c r="V45" s="5"/>
      <c r="W45" s="78" t="s">
        <v>169</v>
      </c>
      <c r="X45" s="5"/>
      <c r="Y45" s="5" t="s">
        <v>163</v>
      </c>
      <c r="Z45" s="5"/>
      <c r="AA45" s="5" t="s">
        <v>163</v>
      </c>
      <c r="AB45" s="5"/>
      <c r="AC45" s="5" t="s">
        <v>163</v>
      </c>
      <c r="AD45" s="5"/>
      <c r="AE45" s="5" t="s">
        <v>163</v>
      </c>
      <c r="AF45" s="5"/>
      <c r="AG45" s="5" t="s">
        <v>163</v>
      </c>
      <c r="AH45" s="5"/>
      <c r="AI45" s="5" t="s">
        <v>163</v>
      </c>
      <c r="AJ45" s="5"/>
      <c r="AK45" s="5" t="s">
        <v>163</v>
      </c>
      <c r="AL45" s="5"/>
      <c r="AM45" s="5" t="s">
        <v>163</v>
      </c>
      <c r="AN45" s="5"/>
      <c r="AO45" s="5" t="s">
        <v>163</v>
      </c>
      <c r="AP45" s="5"/>
      <c r="AQ45" s="5" t="s">
        <v>163</v>
      </c>
      <c r="AR45" s="5"/>
      <c r="AS45" s="5" t="s">
        <v>163</v>
      </c>
      <c r="AT45" s="5"/>
      <c r="AU45" s="5" t="s">
        <v>163</v>
      </c>
      <c r="AV45" s="5"/>
      <c r="AW45" s="78" t="s">
        <v>169</v>
      </c>
      <c r="AX45" s="5"/>
      <c r="AY45" s="5" t="s">
        <v>163</v>
      </c>
      <c r="AZ45" s="5"/>
      <c r="BA45" s="5" t="s">
        <v>163</v>
      </c>
      <c r="BB45" s="5"/>
      <c r="BC45" s="5" t="s">
        <v>163</v>
      </c>
      <c r="BD45" s="5"/>
      <c r="BE45" s="5" t="s">
        <v>163</v>
      </c>
      <c r="BF45" s="5"/>
      <c r="BG45" s="5" t="s">
        <v>163</v>
      </c>
      <c r="BH45" s="8"/>
    </row>
    <row r="46" spans="1:60" ht="12" hidden="1">
      <c r="A46" s="28" t="s">
        <v>40</v>
      </c>
      <c r="B46" s="5"/>
      <c r="C46" s="5" t="s">
        <v>163</v>
      </c>
      <c r="D46" s="5"/>
      <c r="E46" s="5" t="s">
        <v>163</v>
      </c>
      <c r="F46" s="5"/>
      <c r="G46" s="5" t="s">
        <v>163</v>
      </c>
      <c r="H46" s="5"/>
      <c r="I46" s="5" t="s">
        <v>163</v>
      </c>
      <c r="J46" s="5"/>
      <c r="K46" s="5" t="s">
        <v>163</v>
      </c>
      <c r="L46" s="5"/>
      <c r="M46" s="5" t="s">
        <v>163</v>
      </c>
      <c r="N46" s="5"/>
      <c r="O46" s="5" t="s">
        <v>163</v>
      </c>
      <c r="P46" s="5"/>
      <c r="Q46" s="5" t="s">
        <v>163</v>
      </c>
      <c r="R46" s="5"/>
      <c r="S46" s="5" t="s">
        <v>163</v>
      </c>
      <c r="T46" s="5"/>
      <c r="U46" s="5" t="s">
        <v>163</v>
      </c>
      <c r="V46" s="5"/>
      <c r="W46" s="78" t="s">
        <v>40</v>
      </c>
      <c r="X46" s="5"/>
      <c r="Y46" s="5" t="s">
        <v>163</v>
      </c>
      <c r="Z46" s="5"/>
      <c r="AA46" s="5" t="s">
        <v>163</v>
      </c>
      <c r="AB46" s="5"/>
      <c r="AC46" s="5" t="s">
        <v>163</v>
      </c>
      <c r="AD46" s="5"/>
      <c r="AE46" s="5" t="s">
        <v>163</v>
      </c>
      <c r="AF46" s="5"/>
      <c r="AG46" s="5" t="s">
        <v>163</v>
      </c>
      <c r="AH46" s="5"/>
      <c r="AI46" s="5" t="s">
        <v>163</v>
      </c>
      <c r="AJ46" s="5"/>
      <c r="AK46" s="5" t="s">
        <v>163</v>
      </c>
      <c r="AL46" s="5"/>
      <c r="AM46" s="5" t="s">
        <v>163</v>
      </c>
      <c r="AN46" s="5"/>
      <c r="AO46" s="5" t="s">
        <v>163</v>
      </c>
      <c r="AP46" s="5"/>
      <c r="AQ46" s="5" t="s">
        <v>163</v>
      </c>
      <c r="AR46" s="5"/>
      <c r="AS46" s="5" t="s">
        <v>163</v>
      </c>
      <c r="AT46" s="5"/>
      <c r="AU46" s="5" t="s">
        <v>163</v>
      </c>
      <c r="AV46" s="5"/>
      <c r="AW46" s="78" t="s">
        <v>40</v>
      </c>
      <c r="AX46" s="5"/>
      <c r="AY46" s="5" t="s">
        <v>163</v>
      </c>
      <c r="AZ46" s="5"/>
      <c r="BA46" s="5" t="s">
        <v>163</v>
      </c>
      <c r="BB46" s="5"/>
      <c r="BC46" s="5" t="s">
        <v>163</v>
      </c>
      <c r="BD46" s="5"/>
      <c r="BE46" s="5" t="s">
        <v>163</v>
      </c>
      <c r="BF46" s="5"/>
      <c r="BG46" s="5" t="s">
        <v>163</v>
      </c>
      <c r="BH46" s="8"/>
    </row>
    <row r="47" spans="1:60" ht="12">
      <c r="A47" s="28" t="s">
        <v>41</v>
      </c>
      <c r="B47" s="5"/>
      <c r="C47" s="37">
        <f>G47-E47</f>
        <v>1832783</v>
      </c>
      <c r="D47" s="37"/>
      <c r="E47" s="37">
        <v>0</v>
      </c>
      <c r="F47" s="37"/>
      <c r="G47" s="37">
        <f>1832783</f>
        <v>1832783</v>
      </c>
      <c r="H47" s="37"/>
      <c r="I47" s="37">
        <f>M47-K47</f>
        <v>1728902</v>
      </c>
      <c r="J47" s="37"/>
      <c r="K47" s="37">
        <f>SUM(BG47)</f>
        <v>585437</v>
      </c>
      <c r="L47" s="37"/>
      <c r="M47" s="37">
        <v>2314339</v>
      </c>
      <c r="N47" s="37"/>
      <c r="O47" s="37">
        <v>0</v>
      </c>
      <c r="P47" s="37"/>
      <c r="Q47" s="37">
        <v>0</v>
      </c>
      <c r="R47" s="37"/>
      <c r="S47" s="37">
        <f>-481624+68</f>
        <v>-481556</v>
      </c>
      <c r="T47" s="37"/>
      <c r="U47" s="37">
        <f>SUM(O47:S47)</f>
        <v>-481556</v>
      </c>
      <c r="V47" s="37"/>
      <c r="W47" s="78" t="s">
        <v>41</v>
      </c>
      <c r="X47" s="37"/>
      <c r="Y47" s="34">
        <f>953764+5356</f>
        <v>959120</v>
      </c>
      <c r="Z47" s="34"/>
      <c r="AA47" s="34">
        <f>951244+340</f>
        <v>951584</v>
      </c>
      <c r="AB47" s="34"/>
      <c r="AC47" s="34">
        <v>49200</v>
      </c>
      <c r="AD47" s="34"/>
      <c r="AE47" s="38">
        <f>+Y47-AA47-AC47</f>
        <v>-41664</v>
      </c>
      <c r="AF47" s="38"/>
      <c r="AG47" s="38">
        <f>22227-1224</f>
        <v>21003</v>
      </c>
      <c r="AH47" s="38"/>
      <c r="AI47" s="34">
        <v>30000</v>
      </c>
      <c r="AJ47" s="34"/>
      <c r="AK47" s="34">
        <v>0</v>
      </c>
      <c r="AL47" s="34"/>
      <c r="AM47" s="34">
        <v>0</v>
      </c>
      <c r="AN47" s="34"/>
      <c r="AO47" s="38">
        <f>+AE47+AG47+AI47-AK47+AM47</f>
        <v>9339</v>
      </c>
      <c r="AP47" s="38"/>
      <c r="AQ47" s="34">
        <v>3750</v>
      </c>
      <c r="AR47" s="34"/>
      <c r="AS47" s="34">
        <v>8800</v>
      </c>
      <c r="AT47" s="34"/>
      <c r="AU47" s="34">
        <f>+C47-I47</f>
        <v>103881</v>
      </c>
      <c r="AV47" s="34"/>
      <c r="AW47" s="78" t="s">
        <v>41</v>
      </c>
      <c r="AX47" s="34"/>
      <c r="AY47" s="34">
        <v>0</v>
      </c>
      <c r="AZ47" s="34"/>
      <c r="BA47" s="34">
        <v>0</v>
      </c>
      <c r="BB47" s="34"/>
      <c r="BC47" s="34">
        <v>0</v>
      </c>
      <c r="BD47" s="34"/>
      <c r="BE47" s="34">
        <f>580000+5437</f>
        <v>585437</v>
      </c>
      <c r="BF47" s="34"/>
      <c r="BG47" s="34">
        <f>SUM(AY47:BE47)</f>
        <v>585437</v>
      </c>
      <c r="BH47" s="8"/>
    </row>
    <row r="48" spans="1:60" ht="12" hidden="1">
      <c r="A48" s="28" t="s">
        <v>42</v>
      </c>
      <c r="B48" s="5"/>
      <c r="C48" s="5" t="s">
        <v>163</v>
      </c>
      <c r="D48" s="5"/>
      <c r="E48" s="5" t="s">
        <v>163</v>
      </c>
      <c r="F48" s="5"/>
      <c r="G48" s="5" t="s">
        <v>163</v>
      </c>
      <c r="H48" s="5"/>
      <c r="I48" s="5" t="s">
        <v>163</v>
      </c>
      <c r="J48" s="5"/>
      <c r="K48" s="5" t="s">
        <v>163</v>
      </c>
      <c r="L48" s="5"/>
      <c r="M48" s="5" t="s">
        <v>163</v>
      </c>
      <c r="N48" s="5"/>
      <c r="O48" s="5" t="s">
        <v>163</v>
      </c>
      <c r="P48" s="5"/>
      <c r="Q48" s="5" t="s">
        <v>163</v>
      </c>
      <c r="R48" s="5"/>
      <c r="S48" s="5" t="s">
        <v>163</v>
      </c>
      <c r="T48" s="5"/>
      <c r="U48" s="5" t="s">
        <v>163</v>
      </c>
      <c r="V48" s="5"/>
      <c r="W48" s="78" t="s">
        <v>42</v>
      </c>
      <c r="X48" s="5"/>
      <c r="Y48" s="5" t="s">
        <v>163</v>
      </c>
      <c r="Z48" s="5"/>
      <c r="AA48" s="5" t="s">
        <v>163</v>
      </c>
      <c r="AB48" s="5"/>
      <c r="AC48" s="5" t="s">
        <v>163</v>
      </c>
      <c r="AD48" s="5"/>
      <c r="AE48" s="5" t="s">
        <v>163</v>
      </c>
      <c r="AF48" s="5"/>
      <c r="AG48" s="5" t="s">
        <v>163</v>
      </c>
      <c r="AH48" s="5"/>
      <c r="AI48" s="5" t="s">
        <v>163</v>
      </c>
      <c r="AJ48" s="5"/>
      <c r="AK48" s="5" t="s">
        <v>163</v>
      </c>
      <c r="AL48" s="5"/>
      <c r="AM48" s="5" t="s">
        <v>163</v>
      </c>
      <c r="AN48" s="5"/>
      <c r="AO48" s="5" t="s">
        <v>163</v>
      </c>
      <c r="AP48" s="5"/>
      <c r="AQ48" s="5" t="s">
        <v>163</v>
      </c>
      <c r="AR48" s="5"/>
      <c r="AS48" s="5" t="s">
        <v>163</v>
      </c>
      <c r="AT48" s="5"/>
      <c r="AU48" s="5" t="s">
        <v>163</v>
      </c>
      <c r="AV48" s="5"/>
      <c r="AW48" s="78" t="s">
        <v>42</v>
      </c>
      <c r="AX48" s="5"/>
      <c r="AY48" s="5" t="s">
        <v>163</v>
      </c>
      <c r="AZ48" s="5"/>
      <c r="BA48" s="5" t="s">
        <v>163</v>
      </c>
      <c r="BB48" s="5"/>
      <c r="BC48" s="5" t="s">
        <v>163</v>
      </c>
      <c r="BD48" s="5"/>
      <c r="BE48" s="5" t="s">
        <v>163</v>
      </c>
      <c r="BF48" s="5"/>
      <c r="BG48" s="5" t="s">
        <v>163</v>
      </c>
      <c r="BH48" s="8"/>
    </row>
    <row r="49" spans="1:60" ht="12" hidden="1">
      <c r="A49" s="28" t="s">
        <v>43</v>
      </c>
      <c r="B49" s="5"/>
      <c r="C49" s="37">
        <f>G49-E49</f>
        <v>0</v>
      </c>
      <c r="D49" s="37"/>
      <c r="E49" s="37"/>
      <c r="F49" s="37"/>
      <c r="G49" s="37"/>
      <c r="H49" s="37"/>
      <c r="I49" s="37">
        <f>M49-K49</f>
        <v>0</v>
      </c>
      <c r="J49" s="37"/>
      <c r="K49" s="37">
        <f>SUM(BG49)</f>
        <v>0</v>
      </c>
      <c r="L49" s="37"/>
      <c r="M49" s="37"/>
      <c r="N49" s="37"/>
      <c r="O49" s="37"/>
      <c r="P49" s="37"/>
      <c r="Q49" s="37"/>
      <c r="R49" s="37"/>
      <c r="S49" s="37"/>
      <c r="T49" s="37"/>
      <c r="U49" s="37">
        <f>SUM(O49:S49)</f>
        <v>0</v>
      </c>
      <c r="V49" s="37"/>
      <c r="W49" s="78" t="s">
        <v>43</v>
      </c>
      <c r="X49" s="37"/>
      <c r="Y49" s="34"/>
      <c r="Z49" s="34"/>
      <c r="AA49" s="34"/>
      <c r="AB49" s="34"/>
      <c r="AC49" s="34"/>
      <c r="AD49" s="34"/>
      <c r="AE49" s="38">
        <f>+Y49-AA49-AC49</f>
        <v>0</v>
      </c>
      <c r="AF49" s="38"/>
      <c r="AG49" s="38"/>
      <c r="AH49" s="38"/>
      <c r="AI49" s="34"/>
      <c r="AJ49" s="34"/>
      <c r="AK49" s="34"/>
      <c r="AL49" s="34"/>
      <c r="AM49" s="34"/>
      <c r="AN49" s="34"/>
      <c r="AO49" s="38">
        <f>+AE49+AG49+AI49-AK49+AM49</f>
        <v>0</v>
      </c>
      <c r="AP49" s="38"/>
      <c r="AQ49" s="34"/>
      <c r="AR49" s="34"/>
      <c r="AS49" s="34"/>
      <c r="AT49" s="34"/>
      <c r="AU49" s="34">
        <f>+C49-I49</f>
        <v>0</v>
      </c>
      <c r="AV49" s="34"/>
      <c r="AW49" s="78" t="s">
        <v>43</v>
      </c>
      <c r="AX49" s="34"/>
      <c r="AY49" s="34"/>
      <c r="AZ49" s="34"/>
      <c r="BA49" s="34"/>
      <c r="BB49" s="34"/>
      <c r="BC49" s="34"/>
      <c r="BD49" s="34"/>
      <c r="BE49" s="34"/>
      <c r="BF49" s="34"/>
      <c r="BG49" s="34">
        <f>SUM(AY49:BE49)</f>
        <v>0</v>
      </c>
      <c r="BH49" s="8"/>
    </row>
    <row r="50" spans="1:60" ht="12" hidden="1">
      <c r="A50" s="28" t="s">
        <v>44</v>
      </c>
      <c r="B50" s="5"/>
      <c r="C50" s="37">
        <f>G50-E50</f>
        <v>0</v>
      </c>
      <c r="D50" s="37"/>
      <c r="E50" s="37"/>
      <c r="F50" s="37"/>
      <c r="G50" s="37"/>
      <c r="H50" s="37"/>
      <c r="I50" s="37">
        <f>M50-K50</f>
        <v>0</v>
      </c>
      <c r="J50" s="37"/>
      <c r="K50" s="37">
        <f>SUM(BG50)</f>
        <v>0</v>
      </c>
      <c r="L50" s="37"/>
      <c r="M50" s="37"/>
      <c r="N50" s="37"/>
      <c r="O50" s="37"/>
      <c r="P50" s="37"/>
      <c r="Q50" s="37"/>
      <c r="R50" s="37"/>
      <c r="S50" s="37"/>
      <c r="T50" s="37"/>
      <c r="U50" s="37">
        <f>SUM(O50:S50)</f>
        <v>0</v>
      </c>
      <c r="V50" s="37"/>
      <c r="W50" s="78" t="s">
        <v>44</v>
      </c>
      <c r="X50" s="37"/>
      <c r="Y50" s="34"/>
      <c r="Z50" s="34"/>
      <c r="AA50" s="34"/>
      <c r="AB50" s="34"/>
      <c r="AC50" s="34"/>
      <c r="AD50" s="34"/>
      <c r="AE50" s="38">
        <f>+Y50-AA50-AC50</f>
        <v>0</v>
      </c>
      <c r="AF50" s="38"/>
      <c r="AG50" s="38"/>
      <c r="AH50" s="38"/>
      <c r="AI50" s="34"/>
      <c r="AJ50" s="34"/>
      <c r="AK50" s="34"/>
      <c r="AL50" s="34"/>
      <c r="AM50" s="34"/>
      <c r="AN50" s="34"/>
      <c r="AO50" s="38">
        <f>+AE50+AG50+AI50-AK50+AM50</f>
        <v>0</v>
      </c>
      <c r="AP50" s="38"/>
      <c r="AQ50" s="34"/>
      <c r="AR50" s="34"/>
      <c r="AS50" s="34"/>
      <c r="AT50" s="34"/>
      <c r="AU50" s="34">
        <f>+C50-I50</f>
        <v>0</v>
      </c>
      <c r="AV50" s="34"/>
      <c r="AW50" s="78" t="s">
        <v>44</v>
      </c>
      <c r="AX50" s="34"/>
      <c r="AY50" s="34"/>
      <c r="AZ50" s="34"/>
      <c r="BA50" s="34"/>
      <c r="BB50" s="34"/>
      <c r="BC50" s="34"/>
      <c r="BD50" s="34"/>
      <c r="BE50" s="34"/>
      <c r="BF50" s="34"/>
      <c r="BG50" s="34">
        <f>SUM(AY50:BE50)</f>
        <v>0</v>
      </c>
      <c r="BH50" s="8"/>
    </row>
    <row r="51" spans="1:60" ht="12">
      <c r="A51" s="28" t="s">
        <v>45</v>
      </c>
      <c r="B51" s="5"/>
      <c r="C51" s="37">
        <f>G51-E51</f>
        <v>573822</v>
      </c>
      <c r="D51" s="37"/>
      <c r="E51" s="37">
        <v>3387142</v>
      </c>
      <c r="F51" s="37"/>
      <c r="G51" s="37">
        <v>3960964</v>
      </c>
      <c r="H51" s="37"/>
      <c r="I51" s="37">
        <f>M51-K51</f>
        <v>2685184</v>
      </c>
      <c r="J51" s="37"/>
      <c r="K51" s="37">
        <f>SUM(BG51)</f>
        <v>1871459</v>
      </c>
      <c r="L51" s="37"/>
      <c r="M51" s="37">
        <v>4556643</v>
      </c>
      <c r="N51" s="37"/>
      <c r="O51" s="37">
        <v>0</v>
      </c>
      <c r="P51" s="37"/>
      <c r="Q51" s="37">
        <v>408202</v>
      </c>
      <c r="R51" s="37"/>
      <c r="S51" s="37">
        <v>-1003881</v>
      </c>
      <c r="T51" s="37"/>
      <c r="U51" s="37">
        <f>SUM(O51:S51)</f>
        <v>-595679</v>
      </c>
      <c r="V51" s="37"/>
      <c r="W51" s="78" t="s">
        <v>45</v>
      </c>
      <c r="X51" s="37"/>
      <c r="Y51" s="34">
        <v>2096666</v>
      </c>
      <c r="Z51" s="34"/>
      <c r="AA51" s="34">
        <f>492696-199487</f>
        <v>293209</v>
      </c>
      <c r="AB51" s="34"/>
      <c r="AC51" s="34">
        <v>199487</v>
      </c>
      <c r="AD51" s="34"/>
      <c r="AE51" s="38">
        <f>+Y51-AA51-AC51</f>
        <v>1603970</v>
      </c>
      <c r="AF51" s="38"/>
      <c r="AG51" s="38">
        <v>-146674</v>
      </c>
      <c r="AH51" s="38"/>
      <c r="AI51" s="34">
        <v>337693</v>
      </c>
      <c r="AJ51" s="34"/>
      <c r="AK51" s="34">
        <v>88183</v>
      </c>
      <c r="AL51" s="34"/>
      <c r="AM51" s="34">
        <v>0</v>
      </c>
      <c r="AN51" s="34"/>
      <c r="AO51" s="38">
        <f>+AE51+AG51+AI51-AK51+AM51</f>
        <v>1706806</v>
      </c>
      <c r="AP51" s="38"/>
      <c r="AQ51" s="70" t="s">
        <v>163</v>
      </c>
      <c r="AR51" s="34"/>
      <c r="AS51" s="70" t="s">
        <v>163</v>
      </c>
      <c r="AT51" s="34"/>
      <c r="AU51" s="34">
        <f>+C51-I51</f>
        <v>-2111362</v>
      </c>
      <c r="AV51" s="34"/>
      <c r="AW51" s="78" t="s">
        <v>45</v>
      </c>
      <c r="AX51" s="34"/>
      <c r="AY51" s="34">
        <v>1786502</v>
      </c>
      <c r="AZ51" s="34"/>
      <c r="BA51" s="34">
        <v>0</v>
      </c>
      <c r="BB51" s="34"/>
      <c r="BC51" s="34">
        <v>0</v>
      </c>
      <c r="BD51" s="34"/>
      <c r="BE51" s="34">
        <v>84957</v>
      </c>
      <c r="BF51" s="34"/>
      <c r="BG51" s="34">
        <f>SUM(AY51:BE51)</f>
        <v>1871459</v>
      </c>
      <c r="BH51" s="8"/>
    </row>
    <row r="52" spans="1:60" ht="12" hidden="1">
      <c r="A52" s="28" t="s">
        <v>46</v>
      </c>
      <c r="B52" s="5"/>
      <c r="C52" s="5" t="s">
        <v>163</v>
      </c>
      <c r="D52" s="5"/>
      <c r="E52" s="5" t="s">
        <v>163</v>
      </c>
      <c r="F52" s="5"/>
      <c r="G52" s="5" t="s">
        <v>163</v>
      </c>
      <c r="H52" s="5"/>
      <c r="I52" s="5" t="s">
        <v>163</v>
      </c>
      <c r="J52" s="5"/>
      <c r="K52" s="5" t="s">
        <v>163</v>
      </c>
      <c r="L52" s="5"/>
      <c r="M52" s="5" t="s">
        <v>163</v>
      </c>
      <c r="N52" s="5"/>
      <c r="O52" s="5" t="s">
        <v>163</v>
      </c>
      <c r="P52" s="5"/>
      <c r="Q52" s="5" t="s">
        <v>163</v>
      </c>
      <c r="R52" s="5"/>
      <c r="S52" s="5" t="s">
        <v>163</v>
      </c>
      <c r="T52" s="5"/>
      <c r="U52" s="5" t="s">
        <v>163</v>
      </c>
      <c r="V52" s="5"/>
      <c r="W52" s="78" t="s">
        <v>46</v>
      </c>
      <c r="X52" s="5"/>
      <c r="Y52" s="5" t="s">
        <v>163</v>
      </c>
      <c r="Z52" s="5"/>
      <c r="AA52" s="5" t="s">
        <v>163</v>
      </c>
      <c r="AB52" s="5"/>
      <c r="AC52" s="5" t="s">
        <v>163</v>
      </c>
      <c r="AD52" s="5"/>
      <c r="AE52" s="5" t="s">
        <v>163</v>
      </c>
      <c r="AF52" s="5"/>
      <c r="AG52" s="5" t="s">
        <v>163</v>
      </c>
      <c r="AH52" s="5"/>
      <c r="AI52" s="5" t="s">
        <v>163</v>
      </c>
      <c r="AJ52" s="5"/>
      <c r="AK52" s="5" t="s">
        <v>163</v>
      </c>
      <c r="AL52" s="5"/>
      <c r="AM52" s="5" t="s">
        <v>163</v>
      </c>
      <c r="AN52" s="5"/>
      <c r="AO52" s="5" t="s">
        <v>163</v>
      </c>
      <c r="AP52" s="5"/>
      <c r="AQ52" s="70" t="s">
        <v>163</v>
      </c>
      <c r="AR52" s="5"/>
      <c r="AS52" s="70" t="s">
        <v>163</v>
      </c>
      <c r="AT52" s="5"/>
      <c r="AU52" s="5" t="s">
        <v>163</v>
      </c>
      <c r="AV52" s="5"/>
      <c r="AW52" s="78" t="s">
        <v>46</v>
      </c>
      <c r="AX52" s="5"/>
      <c r="AY52" s="5" t="s">
        <v>163</v>
      </c>
      <c r="AZ52" s="5"/>
      <c r="BA52" s="5" t="s">
        <v>163</v>
      </c>
      <c r="BB52" s="5"/>
      <c r="BC52" s="5" t="s">
        <v>163</v>
      </c>
      <c r="BD52" s="5"/>
      <c r="BE52" s="5" t="s">
        <v>163</v>
      </c>
      <c r="BF52" s="5"/>
      <c r="BG52" s="5" t="s">
        <v>163</v>
      </c>
      <c r="BH52" s="8"/>
    </row>
    <row r="53" spans="1:60" ht="12" hidden="1">
      <c r="A53" s="28" t="s">
        <v>47</v>
      </c>
      <c r="B53" s="5"/>
      <c r="C53" s="5" t="s">
        <v>163</v>
      </c>
      <c r="D53" s="5"/>
      <c r="E53" s="5" t="s">
        <v>163</v>
      </c>
      <c r="F53" s="5"/>
      <c r="G53" s="5" t="s">
        <v>163</v>
      </c>
      <c r="H53" s="5"/>
      <c r="I53" s="5" t="s">
        <v>163</v>
      </c>
      <c r="J53" s="5"/>
      <c r="K53" s="5" t="s">
        <v>163</v>
      </c>
      <c r="L53" s="5"/>
      <c r="M53" s="5" t="s">
        <v>163</v>
      </c>
      <c r="N53" s="5"/>
      <c r="O53" s="5" t="s">
        <v>163</v>
      </c>
      <c r="P53" s="5"/>
      <c r="Q53" s="5" t="s">
        <v>163</v>
      </c>
      <c r="R53" s="5"/>
      <c r="S53" s="5" t="s">
        <v>163</v>
      </c>
      <c r="T53" s="5"/>
      <c r="U53" s="5" t="s">
        <v>163</v>
      </c>
      <c r="V53" s="5"/>
      <c r="W53" s="78" t="s">
        <v>47</v>
      </c>
      <c r="X53" s="5"/>
      <c r="Y53" s="5" t="s">
        <v>163</v>
      </c>
      <c r="Z53" s="5"/>
      <c r="AA53" s="5" t="s">
        <v>163</v>
      </c>
      <c r="AB53" s="5"/>
      <c r="AC53" s="5" t="s">
        <v>163</v>
      </c>
      <c r="AD53" s="5"/>
      <c r="AE53" s="5" t="s">
        <v>163</v>
      </c>
      <c r="AF53" s="5"/>
      <c r="AG53" s="5" t="s">
        <v>163</v>
      </c>
      <c r="AH53" s="5"/>
      <c r="AI53" s="5" t="s">
        <v>163</v>
      </c>
      <c r="AJ53" s="5"/>
      <c r="AK53" s="5" t="s">
        <v>163</v>
      </c>
      <c r="AL53" s="5"/>
      <c r="AM53" s="5" t="s">
        <v>163</v>
      </c>
      <c r="AN53" s="5"/>
      <c r="AO53" s="5" t="s">
        <v>163</v>
      </c>
      <c r="AP53" s="5"/>
      <c r="AQ53" s="70" t="s">
        <v>163</v>
      </c>
      <c r="AR53" s="5"/>
      <c r="AS53" s="70" t="s">
        <v>163</v>
      </c>
      <c r="AT53" s="5"/>
      <c r="AU53" s="5" t="s">
        <v>163</v>
      </c>
      <c r="AV53" s="5"/>
      <c r="AW53" s="78" t="s">
        <v>47</v>
      </c>
      <c r="AX53" s="5"/>
      <c r="AY53" s="5" t="s">
        <v>163</v>
      </c>
      <c r="AZ53" s="5"/>
      <c r="BA53" s="5" t="s">
        <v>163</v>
      </c>
      <c r="BB53" s="5"/>
      <c r="BC53" s="5" t="s">
        <v>163</v>
      </c>
      <c r="BD53" s="5"/>
      <c r="BE53" s="5" t="s">
        <v>163</v>
      </c>
      <c r="BF53" s="5"/>
      <c r="BG53" s="5" t="s">
        <v>163</v>
      </c>
      <c r="BH53" s="8"/>
    </row>
    <row r="54" spans="1:60" ht="12">
      <c r="A54" s="28" t="s">
        <v>48</v>
      </c>
      <c r="B54" s="5"/>
      <c r="C54" s="37">
        <v>62714</v>
      </c>
      <c r="D54" s="37"/>
      <c r="E54" s="37">
        <v>143164</v>
      </c>
      <c r="F54" s="37"/>
      <c r="G54" s="37">
        <v>205878</v>
      </c>
      <c r="H54" s="37"/>
      <c r="I54" s="37">
        <v>25</v>
      </c>
      <c r="J54" s="37"/>
      <c r="K54" s="37">
        <v>2359932</v>
      </c>
      <c r="L54" s="37"/>
      <c r="M54" s="37">
        <v>2359957</v>
      </c>
      <c r="N54" s="37"/>
      <c r="O54" s="37">
        <v>0</v>
      </c>
      <c r="P54" s="37"/>
      <c r="Q54" s="37">
        <v>0</v>
      </c>
      <c r="R54" s="37"/>
      <c r="S54" s="37">
        <v>-2154079</v>
      </c>
      <c r="T54" s="37"/>
      <c r="U54" s="37">
        <f>SUM(O54:S54)</f>
        <v>-2154079</v>
      </c>
      <c r="V54" s="37"/>
      <c r="W54" s="78" t="s">
        <v>48</v>
      </c>
      <c r="X54" s="37"/>
      <c r="Y54" s="34">
        <v>0</v>
      </c>
      <c r="Z54" s="34"/>
      <c r="AA54" s="34">
        <v>47158</v>
      </c>
      <c r="AB54" s="34"/>
      <c r="AC54" s="34">
        <v>0</v>
      </c>
      <c r="AD54" s="34"/>
      <c r="AE54" s="38">
        <f>+Y54-AA54-AC54</f>
        <v>-47158</v>
      </c>
      <c r="AF54" s="38"/>
      <c r="AG54" s="38">
        <v>0</v>
      </c>
      <c r="AH54" s="38"/>
      <c r="AI54" s="34">
        <v>140211</v>
      </c>
      <c r="AJ54" s="34"/>
      <c r="AK54" s="34">
        <v>0</v>
      </c>
      <c r="AL54" s="34"/>
      <c r="AM54" s="34">
        <v>0</v>
      </c>
      <c r="AN54" s="34"/>
      <c r="AO54" s="38">
        <f>+AE54+AG54+AI54-AK54+AM54</f>
        <v>93053</v>
      </c>
      <c r="AP54" s="38"/>
      <c r="AQ54" s="70" t="s">
        <v>163</v>
      </c>
      <c r="AR54" s="34"/>
      <c r="AS54" s="70" t="s">
        <v>163</v>
      </c>
      <c r="AT54" s="34"/>
      <c r="AU54" s="34">
        <f>+C54-I54</f>
        <v>62689</v>
      </c>
      <c r="AV54" s="34"/>
      <c r="AW54" s="78" t="s">
        <v>48</v>
      </c>
      <c r="AX54" s="34"/>
      <c r="AY54" s="34">
        <v>0</v>
      </c>
      <c r="AZ54" s="34"/>
      <c r="BA54" s="34">
        <v>0</v>
      </c>
      <c r="BB54" s="34"/>
      <c r="BC54" s="34">
        <v>0</v>
      </c>
      <c r="BD54" s="34"/>
      <c r="BE54" s="34">
        <v>2359932</v>
      </c>
      <c r="BF54" s="34"/>
      <c r="BG54" s="34">
        <f>SUM(AY54:BE54)</f>
        <v>2359932</v>
      </c>
      <c r="BH54" s="8"/>
    </row>
    <row r="55" spans="1:60" ht="12" hidden="1">
      <c r="A55" s="28" t="s">
        <v>49</v>
      </c>
      <c r="B55" s="5"/>
      <c r="C55" s="5" t="s">
        <v>163</v>
      </c>
      <c r="D55" s="5"/>
      <c r="E55" s="5" t="s">
        <v>163</v>
      </c>
      <c r="F55" s="5"/>
      <c r="G55" s="5" t="s">
        <v>163</v>
      </c>
      <c r="H55" s="5"/>
      <c r="I55" s="5" t="s">
        <v>163</v>
      </c>
      <c r="J55" s="5"/>
      <c r="K55" s="5" t="s">
        <v>163</v>
      </c>
      <c r="L55" s="5"/>
      <c r="M55" s="5" t="s">
        <v>163</v>
      </c>
      <c r="N55" s="5"/>
      <c r="O55" s="5" t="s">
        <v>163</v>
      </c>
      <c r="P55" s="5"/>
      <c r="Q55" s="5" t="s">
        <v>163</v>
      </c>
      <c r="R55" s="5"/>
      <c r="S55" s="5" t="s">
        <v>163</v>
      </c>
      <c r="T55" s="5"/>
      <c r="U55" s="5" t="s">
        <v>163</v>
      </c>
      <c r="V55" s="5"/>
      <c r="W55" s="78" t="s">
        <v>49</v>
      </c>
      <c r="X55" s="5"/>
      <c r="Y55" s="5" t="s">
        <v>163</v>
      </c>
      <c r="Z55" s="5"/>
      <c r="AA55" s="5" t="s">
        <v>163</v>
      </c>
      <c r="AB55" s="5"/>
      <c r="AC55" s="5" t="s">
        <v>163</v>
      </c>
      <c r="AD55" s="5"/>
      <c r="AE55" s="5" t="s">
        <v>163</v>
      </c>
      <c r="AF55" s="5"/>
      <c r="AG55" s="5" t="s">
        <v>163</v>
      </c>
      <c r="AH55" s="5"/>
      <c r="AI55" s="5" t="s">
        <v>163</v>
      </c>
      <c r="AJ55" s="5"/>
      <c r="AK55" s="5" t="s">
        <v>163</v>
      </c>
      <c r="AL55" s="5"/>
      <c r="AM55" s="5" t="s">
        <v>163</v>
      </c>
      <c r="AN55" s="5"/>
      <c r="AO55" s="5" t="s">
        <v>163</v>
      </c>
      <c r="AP55" s="5"/>
      <c r="AQ55" s="70" t="s">
        <v>163</v>
      </c>
      <c r="AR55" s="5"/>
      <c r="AS55" s="70" t="s">
        <v>163</v>
      </c>
      <c r="AT55" s="5"/>
      <c r="AU55" s="5" t="s">
        <v>163</v>
      </c>
      <c r="AV55" s="5"/>
      <c r="AW55" s="78" t="s">
        <v>49</v>
      </c>
      <c r="AX55" s="5"/>
      <c r="AY55" s="5" t="s">
        <v>163</v>
      </c>
      <c r="AZ55" s="5"/>
      <c r="BA55" s="5" t="s">
        <v>163</v>
      </c>
      <c r="BB55" s="5"/>
      <c r="BC55" s="5" t="s">
        <v>163</v>
      </c>
      <c r="BD55" s="5"/>
      <c r="BE55" s="5" t="s">
        <v>163</v>
      </c>
      <c r="BF55" s="5"/>
      <c r="BG55" s="5" t="s">
        <v>163</v>
      </c>
      <c r="BH55" s="8"/>
    </row>
    <row r="56" spans="1:60" ht="12" hidden="1">
      <c r="A56" s="28" t="s">
        <v>171</v>
      </c>
      <c r="B56" s="5"/>
      <c r="C56" s="5" t="s">
        <v>163</v>
      </c>
      <c r="D56" s="5"/>
      <c r="E56" s="5" t="s">
        <v>163</v>
      </c>
      <c r="F56" s="5"/>
      <c r="G56" s="5" t="s">
        <v>163</v>
      </c>
      <c r="H56" s="5"/>
      <c r="I56" s="5" t="s">
        <v>163</v>
      </c>
      <c r="J56" s="5"/>
      <c r="K56" s="5" t="s">
        <v>163</v>
      </c>
      <c r="L56" s="5"/>
      <c r="M56" s="5" t="s">
        <v>163</v>
      </c>
      <c r="N56" s="5"/>
      <c r="O56" s="5" t="s">
        <v>163</v>
      </c>
      <c r="P56" s="5"/>
      <c r="Q56" s="5" t="s">
        <v>163</v>
      </c>
      <c r="R56" s="5"/>
      <c r="S56" s="5" t="s">
        <v>163</v>
      </c>
      <c r="T56" s="5"/>
      <c r="U56" s="5" t="s">
        <v>163</v>
      </c>
      <c r="V56" s="5"/>
      <c r="W56" s="78" t="s">
        <v>171</v>
      </c>
      <c r="X56" s="5"/>
      <c r="Y56" s="5" t="s">
        <v>163</v>
      </c>
      <c r="Z56" s="5"/>
      <c r="AA56" s="5" t="s">
        <v>163</v>
      </c>
      <c r="AB56" s="5"/>
      <c r="AC56" s="5" t="s">
        <v>163</v>
      </c>
      <c r="AD56" s="5"/>
      <c r="AE56" s="5" t="s">
        <v>163</v>
      </c>
      <c r="AF56" s="5"/>
      <c r="AG56" s="5" t="s">
        <v>163</v>
      </c>
      <c r="AH56" s="5"/>
      <c r="AI56" s="5" t="s">
        <v>163</v>
      </c>
      <c r="AJ56" s="5"/>
      <c r="AK56" s="5" t="s">
        <v>163</v>
      </c>
      <c r="AL56" s="5"/>
      <c r="AM56" s="5" t="s">
        <v>163</v>
      </c>
      <c r="AN56" s="5"/>
      <c r="AO56" s="5" t="s">
        <v>163</v>
      </c>
      <c r="AP56" s="5"/>
      <c r="AQ56" s="70" t="s">
        <v>163</v>
      </c>
      <c r="AR56" s="5"/>
      <c r="AS56" s="70" t="s">
        <v>163</v>
      </c>
      <c r="AT56" s="5"/>
      <c r="AU56" s="5" t="s">
        <v>163</v>
      </c>
      <c r="AV56" s="5"/>
      <c r="AW56" s="78" t="s">
        <v>171</v>
      </c>
      <c r="AX56" s="5"/>
      <c r="AY56" s="5" t="s">
        <v>163</v>
      </c>
      <c r="AZ56" s="5"/>
      <c r="BA56" s="5" t="s">
        <v>163</v>
      </c>
      <c r="BB56" s="5"/>
      <c r="BC56" s="5" t="s">
        <v>163</v>
      </c>
      <c r="BD56" s="5"/>
      <c r="BE56" s="5" t="s">
        <v>163</v>
      </c>
      <c r="BF56" s="5"/>
      <c r="BG56" s="5" t="s">
        <v>163</v>
      </c>
      <c r="BH56" s="8"/>
    </row>
    <row r="57" spans="1:60" ht="12" hidden="1">
      <c r="A57" s="28" t="s">
        <v>50</v>
      </c>
      <c r="B57" s="5"/>
      <c r="C57" s="5" t="s">
        <v>163</v>
      </c>
      <c r="D57" s="5"/>
      <c r="E57" s="5" t="s">
        <v>163</v>
      </c>
      <c r="F57" s="5"/>
      <c r="G57" s="5" t="s">
        <v>163</v>
      </c>
      <c r="H57" s="5"/>
      <c r="I57" s="5" t="s">
        <v>163</v>
      </c>
      <c r="J57" s="5"/>
      <c r="K57" s="5" t="s">
        <v>163</v>
      </c>
      <c r="L57" s="5"/>
      <c r="M57" s="5" t="s">
        <v>163</v>
      </c>
      <c r="N57" s="5"/>
      <c r="O57" s="5" t="s">
        <v>163</v>
      </c>
      <c r="P57" s="5"/>
      <c r="Q57" s="5" t="s">
        <v>163</v>
      </c>
      <c r="R57" s="5"/>
      <c r="S57" s="5" t="s">
        <v>163</v>
      </c>
      <c r="T57" s="5"/>
      <c r="U57" s="5" t="s">
        <v>163</v>
      </c>
      <c r="V57" s="5"/>
      <c r="W57" s="78" t="s">
        <v>50</v>
      </c>
      <c r="X57" s="5"/>
      <c r="Y57" s="5" t="s">
        <v>163</v>
      </c>
      <c r="Z57" s="5"/>
      <c r="AA57" s="5" t="s">
        <v>163</v>
      </c>
      <c r="AB57" s="5"/>
      <c r="AC57" s="5" t="s">
        <v>163</v>
      </c>
      <c r="AD57" s="5"/>
      <c r="AE57" s="5" t="s">
        <v>163</v>
      </c>
      <c r="AF57" s="5"/>
      <c r="AG57" s="5" t="s">
        <v>163</v>
      </c>
      <c r="AH57" s="5"/>
      <c r="AI57" s="5" t="s">
        <v>163</v>
      </c>
      <c r="AJ57" s="5"/>
      <c r="AK57" s="5" t="s">
        <v>163</v>
      </c>
      <c r="AL57" s="5"/>
      <c r="AM57" s="5" t="s">
        <v>163</v>
      </c>
      <c r="AN57" s="5"/>
      <c r="AO57" s="5" t="s">
        <v>163</v>
      </c>
      <c r="AP57" s="5"/>
      <c r="AQ57" s="70" t="s">
        <v>163</v>
      </c>
      <c r="AR57" s="5"/>
      <c r="AS57" s="70" t="s">
        <v>163</v>
      </c>
      <c r="AT57" s="5"/>
      <c r="AU57" s="5" t="s">
        <v>163</v>
      </c>
      <c r="AV57" s="5"/>
      <c r="AW57" s="78" t="s">
        <v>50</v>
      </c>
      <c r="AX57" s="5"/>
      <c r="AY57" s="5" t="s">
        <v>163</v>
      </c>
      <c r="AZ57" s="5"/>
      <c r="BA57" s="5" t="s">
        <v>163</v>
      </c>
      <c r="BB57" s="5"/>
      <c r="BC57" s="5" t="s">
        <v>163</v>
      </c>
      <c r="BD57" s="5"/>
      <c r="BE57" s="5" t="s">
        <v>163</v>
      </c>
      <c r="BF57" s="5"/>
      <c r="BG57" s="5" t="s">
        <v>163</v>
      </c>
      <c r="BH57" s="8"/>
    </row>
    <row r="58" spans="1:60" ht="12" hidden="1">
      <c r="A58" s="28" t="s">
        <v>51</v>
      </c>
      <c r="B58" s="5"/>
      <c r="C58" s="5" t="s">
        <v>163</v>
      </c>
      <c r="D58" s="5"/>
      <c r="E58" s="5" t="s">
        <v>163</v>
      </c>
      <c r="F58" s="5"/>
      <c r="G58" s="5" t="s">
        <v>163</v>
      </c>
      <c r="H58" s="5"/>
      <c r="I58" s="5" t="s">
        <v>163</v>
      </c>
      <c r="J58" s="5"/>
      <c r="K58" s="5" t="s">
        <v>163</v>
      </c>
      <c r="L58" s="5"/>
      <c r="M58" s="5" t="s">
        <v>163</v>
      </c>
      <c r="N58" s="5"/>
      <c r="O58" s="5" t="s">
        <v>163</v>
      </c>
      <c r="P58" s="5"/>
      <c r="Q58" s="5" t="s">
        <v>163</v>
      </c>
      <c r="R58" s="5"/>
      <c r="S58" s="5" t="s">
        <v>163</v>
      </c>
      <c r="T58" s="5"/>
      <c r="U58" s="5" t="s">
        <v>163</v>
      </c>
      <c r="V58" s="5"/>
      <c r="W58" s="78" t="s">
        <v>51</v>
      </c>
      <c r="X58" s="5"/>
      <c r="Y58" s="5" t="s">
        <v>163</v>
      </c>
      <c r="Z58" s="5"/>
      <c r="AA58" s="5" t="s">
        <v>163</v>
      </c>
      <c r="AB58" s="5"/>
      <c r="AC58" s="5" t="s">
        <v>163</v>
      </c>
      <c r="AD58" s="5"/>
      <c r="AE58" s="5" t="s">
        <v>163</v>
      </c>
      <c r="AF58" s="5"/>
      <c r="AG58" s="5" t="s">
        <v>163</v>
      </c>
      <c r="AH58" s="5"/>
      <c r="AI58" s="5" t="s">
        <v>163</v>
      </c>
      <c r="AJ58" s="5"/>
      <c r="AK58" s="5" t="s">
        <v>163</v>
      </c>
      <c r="AL58" s="5"/>
      <c r="AM58" s="5" t="s">
        <v>163</v>
      </c>
      <c r="AN58" s="5"/>
      <c r="AO58" s="5" t="s">
        <v>163</v>
      </c>
      <c r="AP58" s="5"/>
      <c r="AQ58" s="70" t="s">
        <v>163</v>
      </c>
      <c r="AR58" s="5"/>
      <c r="AS58" s="70" t="s">
        <v>163</v>
      </c>
      <c r="AT58" s="5"/>
      <c r="AU58" s="5" t="s">
        <v>163</v>
      </c>
      <c r="AV58" s="5"/>
      <c r="AW58" s="78" t="s">
        <v>51</v>
      </c>
      <c r="AX58" s="5"/>
      <c r="AY58" s="5" t="s">
        <v>163</v>
      </c>
      <c r="AZ58" s="5"/>
      <c r="BA58" s="5" t="s">
        <v>163</v>
      </c>
      <c r="BB58" s="5"/>
      <c r="BC58" s="5" t="s">
        <v>163</v>
      </c>
      <c r="BD58" s="5"/>
      <c r="BE58" s="5" t="s">
        <v>163</v>
      </c>
      <c r="BF58" s="5"/>
      <c r="BG58" s="5" t="s">
        <v>163</v>
      </c>
      <c r="BH58" s="8"/>
    </row>
    <row r="59" spans="1:60" ht="12" hidden="1">
      <c r="A59" s="28" t="s">
        <v>52</v>
      </c>
      <c r="B59" s="5"/>
      <c r="C59" s="37">
        <f>G59-E59</f>
        <v>0</v>
      </c>
      <c r="D59" s="37"/>
      <c r="E59" s="37"/>
      <c r="F59" s="37"/>
      <c r="G59" s="37"/>
      <c r="H59" s="37"/>
      <c r="I59" s="37">
        <f>M59-K59</f>
        <v>0</v>
      </c>
      <c r="J59" s="37"/>
      <c r="K59" s="37">
        <f>SUM(BG59)</f>
        <v>0</v>
      </c>
      <c r="L59" s="37"/>
      <c r="M59" s="37"/>
      <c r="N59" s="37"/>
      <c r="O59" s="37"/>
      <c r="P59" s="37"/>
      <c r="Q59" s="37"/>
      <c r="R59" s="37"/>
      <c r="S59" s="37"/>
      <c r="T59" s="37"/>
      <c r="U59" s="37">
        <f>SUM(O59:S59)</f>
        <v>0</v>
      </c>
      <c r="V59" s="37"/>
      <c r="W59" s="78" t="s">
        <v>52</v>
      </c>
      <c r="X59" s="37"/>
      <c r="Y59" s="34"/>
      <c r="Z59" s="34"/>
      <c r="AA59" s="34"/>
      <c r="AB59" s="34"/>
      <c r="AC59" s="34"/>
      <c r="AD59" s="34"/>
      <c r="AE59" s="38">
        <f>+Y59-AA59-AC59</f>
        <v>0</v>
      </c>
      <c r="AF59" s="38"/>
      <c r="AG59" s="38"/>
      <c r="AH59" s="38"/>
      <c r="AI59" s="34"/>
      <c r="AJ59" s="34"/>
      <c r="AK59" s="34"/>
      <c r="AL59" s="34"/>
      <c r="AM59" s="34"/>
      <c r="AN59" s="34"/>
      <c r="AO59" s="38">
        <f>+AE59+AG59+AI59-AK59+AM59</f>
        <v>0</v>
      </c>
      <c r="AP59" s="38"/>
      <c r="AQ59" s="70" t="s">
        <v>163</v>
      </c>
      <c r="AR59" s="34"/>
      <c r="AS59" s="70" t="s">
        <v>163</v>
      </c>
      <c r="AT59" s="34"/>
      <c r="AU59" s="34">
        <f>+C59-I59</f>
        <v>0</v>
      </c>
      <c r="AV59" s="34"/>
      <c r="AW59" s="78" t="s">
        <v>52</v>
      </c>
      <c r="AX59" s="34"/>
      <c r="AY59" s="34"/>
      <c r="AZ59" s="34"/>
      <c r="BA59" s="34"/>
      <c r="BB59" s="34"/>
      <c r="BC59" s="34"/>
      <c r="BD59" s="34"/>
      <c r="BE59" s="34"/>
      <c r="BF59" s="34"/>
      <c r="BG59" s="34">
        <f>SUM(AY59:BE59)</f>
        <v>0</v>
      </c>
      <c r="BH59" s="8"/>
    </row>
    <row r="60" spans="1:60" ht="12" hidden="1">
      <c r="A60" s="28" t="s">
        <v>139</v>
      </c>
      <c r="B60" s="5"/>
      <c r="C60" s="37">
        <f>G60-E60</f>
        <v>0</v>
      </c>
      <c r="D60" s="37"/>
      <c r="E60" s="37"/>
      <c r="F60" s="37"/>
      <c r="G60" s="37"/>
      <c r="H60" s="37"/>
      <c r="I60" s="37">
        <f>M60-K60</f>
        <v>0</v>
      </c>
      <c r="J60" s="37"/>
      <c r="K60" s="37">
        <f>SUM(BG60)</f>
        <v>0</v>
      </c>
      <c r="L60" s="37"/>
      <c r="M60" s="37"/>
      <c r="N60" s="37"/>
      <c r="O60" s="37"/>
      <c r="P60" s="37"/>
      <c r="Q60" s="37"/>
      <c r="R60" s="37"/>
      <c r="S60" s="37"/>
      <c r="T60" s="37"/>
      <c r="U60" s="37">
        <f>SUM(O60:S60)</f>
        <v>0</v>
      </c>
      <c r="V60" s="37"/>
      <c r="W60" s="78" t="s">
        <v>139</v>
      </c>
      <c r="X60" s="37"/>
      <c r="Y60" s="34"/>
      <c r="Z60" s="34"/>
      <c r="AA60" s="34"/>
      <c r="AB60" s="34"/>
      <c r="AC60" s="34"/>
      <c r="AD60" s="34"/>
      <c r="AE60" s="38">
        <f>+Y60-AA60-AC60</f>
        <v>0</v>
      </c>
      <c r="AF60" s="38"/>
      <c r="AG60" s="38"/>
      <c r="AH60" s="38"/>
      <c r="AI60" s="34"/>
      <c r="AJ60" s="34"/>
      <c r="AK60" s="34"/>
      <c r="AL60" s="34"/>
      <c r="AM60" s="34"/>
      <c r="AN60" s="34"/>
      <c r="AO60" s="38">
        <f>+AE60+AG60+AI60-AK60+AM60</f>
        <v>0</v>
      </c>
      <c r="AP60" s="38"/>
      <c r="AQ60" s="70" t="s">
        <v>163</v>
      </c>
      <c r="AR60" s="34"/>
      <c r="AS60" s="70" t="s">
        <v>163</v>
      </c>
      <c r="AT60" s="34"/>
      <c r="AU60" s="34">
        <f>+C60-I60</f>
        <v>0</v>
      </c>
      <c r="AV60" s="34"/>
      <c r="AW60" s="78" t="s">
        <v>139</v>
      </c>
      <c r="AX60" s="34"/>
      <c r="AY60" s="34"/>
      <c r="AZ60" s="34"/>
      <c r="BA60" s="34"/>
      <c r="BB60" s="34"/>
      <c r="BC60" s="34"/>
      <c r="BD60" s="34"/>
      <c r="BE60" s="34"/>
      <c r="BF60" s="34"/>
      <c r="BG60" s="34">
        <f>SUM(AY60:BE60)</f>
        <v>0</v>
      </c>
      <c r="BH60" s="8"/>
    </row>
    <row r="61" spans="1:60" ht="12" hidden="1">
      <c r="A61" s="28" t="s">
        <v>53</v>
      </c>
      <c r="B61" s="5"/>
      <c r="C61" s="5" t="s">
        <v>163</v>
      </c>
      <c r="D61" s="5"/>
      <c r="E61" s="5" t="s">
        <v>163</v>
      </c>
      <c r="F61" s="5"/>
      <c r="G61" s="5" t="s">
        <v>163</v>
      </c>
      <c r="H61" s="5"/>
      <c r="I61" s="5" t="s">
        <v>163</v>
      </c>
      <c r="J61" s="5"/>
      <c r="K61" s="5" t="s">
        <v>163</v>
      </c>
      <c r="L61" s="5"/>
      <c r="M61" s="5" t="s">
        <v>163</v>
      </c>
      <c r="N61" s="5"/>
      <c r="O61" s="5" t="s">
        <v>163</v>
      </c>
      <c r="P61" s="5"/>
      <c r="Q61" s="5" t="s">
        <v>163</v>
      </c>
      <c r="R61" s="5"/>
      <c r="S61" s="5" t="s">
        <v>163</v>
      </c>
      <c r="T61" s="5"/>
      <c r="U61" s="5" t="s">
        <v>163</v>
      </c>
      <c r="V61" s="5"/>
      <c r="W61" s="78" t="s">
        <v>53</v>
      </c>
      <c r="X61" s="5"/>
      <c r="Y61" s="5" t="s">
        <v>163</v>
      </c>
      <c r="Z61" s="5"/>
      <c r="AA61" s="5" t="s">
        <v>163</v>
      </c>
      <c r="AB61" s="5"/>
      <c r="AC61" s="5" t="s">
        <v>163</v>
      </c>
      <c r="AD61" s="5"/>
      <c r="AE61" s="5" t="s">
        <v>163</v>
      </c>
      <c r="AF61" s="5"/>
      <c r="AG61" s="5" t="s">
        <v>163</v>
      </c>
      <c r="AH61" s="5"/>
      <c r="AI61" s="5" t="s">
        <v>163</v>
      </c>
      <c r="AJ61" s="5"/>
      <c r="AK61" s="5" t="s">
        <v>163</v>
      </c>
      <c r="AL61" s="5"/>
      <c r="AM61" s="5" t="s">
        <v>163</v>
      </c>
      <c r="AN61" s="5"/>
      <c r="AO61" s="5" t="s">
        <v>163</v>
      </c>
      <c r="AP61" s="5"/>
      <c r="AQ61" s="70" t="s">
        <v>163</v>
      </c>
      <c r="AR61" s="5"/>
      <c r="AS61" s="70" t="s">
        <v>163</v>
      </c>
      <c r="AT61" s="5"/>
      <c r="AU61" s="5" t="s">
        <v>163</v>
      </c>
      <c r="AV61" s="5"/>
      <c r="AW61" s="78" t="s">
        <v>53</v>
      </c>
      <c r="AX61" s="5"/>
      <c r="AY61" s="5" t="s">
        <v>163</v>
      </c>
      <c r="AZ61" s="5"/>
      <c r="BA61" s="5" t="s">
        <v>163</v>
      </c>
      <c r="BB61" s="5"/>
      <c r="BC61" s="5" t="s">
        <v>163</v>
      </c>
      <c r="BD61" s="5"/>
      <c r="BE61" s="5" t="s">
        <v>163</v>
      </c>
      <c r="BF61" s="5"/>
      <c r="BG61" s="5" t="s">
        <v>163</v>
      </c>
      <c r="BH61" s="8"/>
    </row>
    <row r="62" spans="1:60" ht="12" hidden="1">
      <c r="A62" s="28" t="s">
        <v>54</v>
      </c>
      <c r="B62" s="5"/>
      <c r="C62" s="37">
        <f>G62-E62</f>
        <v>0</v>
      </c>
      <c r="D62" s="37"/>
      <c r="E62" s="37"/>
      <c r="F62" s="37"/>
      <c r="G62" s="37"/>
      <c r="H62" s="37"/>
      <c r="I62" s="37">
        <f>M62-K62</f>
        <v>0</v>
      </c>
      <c r="J62" s="37"/>
      <c r="K62" s="37">
        <f>SUM(BG62)</f>
        <v>0</v>
      </c>
      <c r="L62" s="37"/>
      <c r="M62" s="37"/>
      <c r="N62" s="37"/>
      <c r="O62" s="37"/>
      <c r="P62" s="37"/>
      <c r="Q62" s="37"/>
      <c r="R62" s="37"/>
      <c r="S62" s="37"/>
      <c r="T62" s="37"/>
      <c r="U62" s="37">
        <f>SUM(O62:S62)</f>
        <v>0</v>
      </c>
      <c r="V62" s="37"/>
      <c r="W62" s="78" t="s">
        <v>54</v>
      </c>
      <c r="X62" s="37"/>
      <c r="Y62" s="34"/>
      <c r="Z62" s="34"/>
      <c r="AA62" s="34"/>
      <c r="AB62" s="34"/>
      <c r="AC62" s="34"/>
      <c r="AD62" s="34"/>
      <c r="AE62" s="38">
        <f>+Y62-AA62-AC62</f>
        <v>0</v>
      </c>
      <c r="AF62" s="38"/>
      <c r="AG62" s="38"/>
      <c r="AH62" s="38"/>
      <c r="AI62" s="34"/>
      <c r="AJ62" s="34"/>
      <c r="AK62" s="34"/>
      <c r="AL62" s="34"/>
      <c r="AM62" s="34"/>
      <c r="AN62" s="34"/>
      <c r="AO62" s="38">
        <f>+AE62+AG62+AI62-AK62+AM62</f>
        <v>0</v>
      </c>
      <c r="AP62" s="38"/>
      <c r="AQ62" s="70" t="s">
        <v>163</v>
      </c>
      <c r="AR62" s="34"/>
      <c r="AS62" s="70" t="s">
        <v>163</v>
      </c>
      <c r="AT62" s="34"/>
      <c r="AU62" s="34">
        <f>+C62-I62</f>
        <v>0</v>
      </c>
      <c r="AV62" s="34"/>
      <c r="AW62" s="78" t="s">
        <v>54</v>
      </c>
      <c r="AX62" s="34"/>
      <c r="AY62" s="34"/>
      <c r="AZ62" s="34"/>
      <c r="BA62" s="34"/>
      <c r="BB62" s="34"/>
      <c r="BC62" s="34"/>
      <c r="BD62" s="34"/>
      <c r="BE62" s="34"/>
      <c r="BF62" s="34"/>
      <c r="BG62" s="34">
        <f>SUM(AY62:BE62)</f>
        <v>0</v>
      </c>
      <c r="BH62" s="8"/>
    </row>
    <row r="63" spans="1:60" ht="12" hidden="1">
      <c r="A63" s="28" t="s">
        <v>55</v>
      </c>
      <c r="B63" s="5"/>
      <c r="C63" s="37">
        <f>G63-E63</f>
        <v>0</v>
      </c>
      <c r="D63" s="37"/>
      <c r="E63" s="37"/>
      <c r="F63" s="37"/>
      <c r="G63" s="37"/>
      <c r="H63" s="37"/>
      <c r="I63" s="37">
        <f>M63-K63</f>
        <v>0</v>
      </c>
      <c r="J63" s="37"/>
      <c r="K63" s="37">
        <f>SUM(BG63)</f>
        <v>0</v>
      </c>
      <c r="L63" s="37"/>
      <c r="M63" s="37"/>
      <c r="N63" s="37"/>
      <c r="O63" s="37"/>
      <c r="P63" s="37"/>
      <c r="Q63" s="37"/>
      <c r="R63" s="37"/>
      <c r="S63" s="37"/>
      <c r="T63" s="37"/>
      <c r="U63" s="37">
        <f>SUM(O63:S63)</f>
        <v>0</v>
      </c>
      <c r="V63" s="37"/>
      <c r="W63" s="78" t="s">
        <v>55</v>
      </c>
      <c r="X63" s="37"/>
      <c r="Y63" s="34"/>
      <c r="Z63" s="34"/>
      <c r="AA63" s="34"/>
      <c r="AB63" s="34"/>
      <c r="AC63" s="34"/>
      <c r="AD63" s="34"/>
      <c r="AE63" s="38">
        <f>+Y63-AA63-AC63</f>
        <v>0</v>
      </c>
      <c r="AF63" s="38"/>
      <c r="AG63" s="38"/>
      <c r="AH63" s="38"/>
      <c r="AI63" s="34"/>
      <c r="AJ63" s="34"/>
      <c r="AK63" s="34"/>
      <c r="AL63" s="34"/>
      <c r="AM63" s="34"/>
      <c r="AN63" s="34"/>
      <c r="AO63" s="38">
        <f>+AE63+AG63+AI63-AK63+AM63</f>
        <v>0</v>
      </c>
      <c r="AP63" s="38"/>
      <c r="AQ63" s="70" t="s">
        <v>163</v>
      </c>
      <c r="AR63" s="34"/>
      <c r="AS63" s="70" t="s">
        <v>163</v>
      </c>
      <c r="AT63" s="34"/>
      <c r="AU63" s="34">
        <f>+C63-I63</f>
        <v>0</v>
      </c>
      <c r="AV63" s="34"/>
      <c r="AW63" s="78" t="s">
        <v>55</v>
      </c>
      <c r="AX63" s="34"/>
      <c r="AY63" s="34"/>
      <c r="AZ63" s="34"/>
      <c r="BA63" s="34"/>
      <c r="BB63" s="34"/>
      <c r="BC63" s="34"/>
      <c r="BD63" s="34"/>
      <c r="BE63" s="34"/>
      <c r="BF63" s="34"/>
      <c r="BG63" s="34">
        <f>SUM(AY63:BE63)</f>
        <v>0</v>
      </c>
      <c r="BH63" s="8"/>
    </row>
    <row r="64" spans="1:60" ht="12" hidden="1">
      <c r="A64" s="28" t="s">
        <v>56</v>
      </c>
      <c r="B64" s="5"/>
      <c r="C64" s="37">
        <f>G64-E64</f>
        <v>0</v>
      </c>
      <c r="D64" s="37"/>
      <c r="E64" s="37"/>
      <c r="F64" s="37"/>
      <c r="G64" s="37"/>
      <c r="H64" s="37"/>
      <c r="I64" s="37">
        <f>M64-K64</f>
        <v>0</v>
      </c>
      <c r="J64" s="37"/>
      <c r="K64" s="37">
        <f>SUM(BG64)</f>
        <v>0</v>
      </c>
      <c r="L64" s="37"/>
      <c r="M64" s="37"/>
      <c r="N64" s="37"/>
      <c r="O64" s="37"/>
      <c r="P64" s="37"/>
      <c r="Q64" s="37"/>
      <c r="R64" s="37"/>
      <c r="S64" s="37"/>
      <c r="T64" s="37"/>
      <c r="U64" s="37">
        <f>SUM(O64:S64)</f>
        <v>0</v>
      </c>
      <c r="V64" s="37"/>
      <c r="W64" s="78" t="s">
        <v>56</v>
      </c>
      <c r="X64" s="37"/>
      <c r="Y64" s="34"/>
      <c r="Z64" s="34"/>
      <c r="AA64" s="34"/>
      <c r="AB64" s="34"/>
      <c r="AC64" s="34"/>
      <c r="AD64" s="34"/>
      <c r="AE64" s="38">
        <f>+Y64-AA64-AC64</f>
        <v>0</v>
      </c>
      <c r="AF64" s="38"/>
      <c r="AG64" s="38"/>
      <c r="AH64" s="38"/>
      <c r="AI64" s="34"/>
      <c r="AJ64" s="34"/>
      <c r="AK64" s="34"/>
      <c r="AL64" s="34"/>
      <c r="AM64" s="34"/>
      <c r="AN64" s="34"/>
      <c r="AO64" s="38">
        <f>+AE64+AG64+AI64-AK64+AM64</f>
        <v>0</v>
      </c>
      <c r="AP64" s="38"/>
      <c r="AQ64" s="70" t="s">
        <v>163</v>
      </c>
      <c r="AR64" s="34"/>
      <c r="AS64" s="70" t="s">
        <v>163</v>
      </c>
      <c r="AT64" s="34"/>
      <c r="AU64" s="34">
        <f>+C64-I64</f>
        <v>0</v>
      </c>
      <c r="AV64" s="34"/>
      <c r="AW64" s="78" t="s">
        <v>56</v>
      </c>
      <c r="AX64" s="34"/>
      <c r="AY64" s="34"/>
      <c r="AZ64" s="34"/>
      <c r="BA64" s="34"/>
      <c r="BB64" s="34"/>
      <c r="BC64" s="34"/>
      <c r="BD64" s="34"/>
      <c r="BE64" s="34"/>
      <c r="BF64" s="34"/>
      <c r="BG64" s="34">
        <f>SUM(AY64:BE64)</f>
        <v>0</v>
      </c>
      <c r="BH64" s="8"/>
    </row>
    <row r="65" spans="1:60" ht="12" hidden="1">
      <c r="A65" s="15" t="s">
        <v>173</v>
      </c>
      <c r="B65" s="5"/>
      <c r="C65" s="5" t="s">
        <v>163</v>
      </c>
      <c r="D65" s="5"/>
      <c r="E65" s="5" t="s">
        <v>163</v>
      </c>
      <c r="F65" s="5"/>
      <c r="G65" s="5" t="s">
        <v>163</v>
      </c>
      <c r="H65" s="5"/>
      <c r="I65" s="5" t="s">
        <v>163</v>
      </c>
      <c r="J65" s="5"/>
      <c r="K65" s="5" t="s">
        <v>163</v>
      </c>
      <c r="L65" s="5"/>
      <c r="M65" s="5" t="s">
        <v>163</v>
      </c>
      <c r="N65" s="5"/>
      <c r="O65" s="5" t="s">
        <v>163</v>
      </c>
      <c r="P65" s="5"/>
      <c r="Q65" s="5" t="s">
        <v>163</v>
      </c>
      <c r="R65" s="5"/>
      <c r="S65" s="5" t="s">
        <v>163</v>
      </c>
      <c r="T65" s="5"/>
      <c r="U65" s="5" t="s">
        <v>163</v>
      </c>
      <c r="V65" s="5"/>
      <c r="W65" s="5" t="s">
        <v>173</v>
      </c>
      <c r="X65" s="5"/>
      <c r="Y65" s="5" t="s">
        <v>163</v>
      </c>
      <c r="Z65" s="5"/>
      <c r="AA65" s="5" t="s">
        <v>163</v>
      </c>
      <c r="AB65" s="5"/>
      <c r="AC65" s="5" t="s">
        <v>163</v>
      </c>
      <c r="AD65" s="5"/>
      <c r="AE65" s="5" t="s">
        <v>163</v>
      </c>
      <c r="AF65" s="5"/>
      <c r="AG65" s="5" t="s">
        <v>163</v>
      </c>
      <c r="AH65" s="5"/>
      <c r="AI65" s="5" t="s">
        <v>163</v>
      </c>
      <c r="AJ65" s="5"/>
      <c r="AK65" s="5" t="s">
        <v>163</v>
      </c>
      <c r="AL65" s="5"/>
      <c r="AM65" s="5" t="s">
        <v>163</v>
      </c>
      <c r="AN65" s="5"/>
      <c r="AO65" s="5" t="s">
        <v>163</v>
      </c>
      <c r="AP65" s="5"/>
      <c r="AQ65" s="70" t="s">
        <v>163</v>
      </c>
      <c r="AR65" s="5"/>
      <c r="AS65" s="70" t="s">
        <v>163</v>
      </c>
      <c r="AT65" s="5"/>
      <c r="AU65" s="5" t="s">
        <v>163</v>
      </c>
      <c r="AV65" s="5"/>
      <c r="AW65" s="5" t="s">
        <v>173</v>
      </c>
      <c r="AX65" s="5"/>
      <c r="AY65" s="5" t="s">
        <v>163</v>
      </c>
      <c r="AZ65" s="5"/>
      <c r="BA65" s="5" t="s">
        <v>163</v>
      </c>
      <c r="BB65" s="5"/>
      <c r="BC65" s="5" t="s">
        <v>163</v>
      </c>
      <c r="BD65" s="5"/>
      <c r="BE65" s="5" t="s">
        <v>163</v>
      </c>
      <c r="BF65" s="5"/>
      <c r="BG65" s="5" t="s">
        <v>163</v>
      </c>
      <c r="BH65" s="8"/>
    </row>
    <row r="66" spans="1:60" ht="12" hidden="1">
      <c r="A66" s="28" t="s">
        <v>57</v>
      </c>
      <c r="B66" s="5"/>
      <c r="C66" s="5" t="s">
        <v>163</v>
      </c>
      <c r="D66" s="5"/>
      <c r="E66" s="5" t="s">
        <v>163</v>
      </c>
      <c r="F66" s="5"/>
      <c r="G66" s="5" t="s">
        <v>163</v>
      </c>
      <c r="H66" s="5"/>
      <c r="I66" s="5" t="s">
        <v>163</v>
      </c>
      <c r="J66" s="5"/>
      <c r="K66" s="5" t="s">
        <v>163</v>
      </c>
      <c r="L66" s="5"/>
      <c r="M66" s="5" t="s">
        <v>163</v>
      </c>
      <c r="N66" s="5"/>
      <c r="O66" s="5" t="s">
        <v>163</v>
      </c>
      <c r="P66" s="5"/>
      <c r="Q66" s="5" t="s">
        <v>163</v>
      </c>
      <c r="R66" s="5"/>
      <c r="S66" s="5" t="s">
        <v>163</v>
      </c>
      <c r="T66" s="5"/>
      <c r="U66" s="5" t="s">
        <v>163</v>
      </c>
      <c r="V66" s="5"/>
      <c r="W66" s="78" t="s">
        <v>57</v>
      </c>
      <c r="X66" s="5"/>
      <c r="Y66" s="5" t="s">
        <v>163</v>
      </c>
      <c r="Z66" s="5"/>
      <c r="AA66" s="5" t="s">
        <v>163</v>
      </c>
      <c r="AB66" s="5"/>
      <c r="AC66" s="5" t="s">
        <v>163</v>
      </c>
      <c r="AD66" s="5"/>
      <c r="AE66" s="5" t="s">
        <v>163</v>
      </c>
      <c r="AF66" s="5"/>
      <c r="AG66" s="5" t="s">
        <v>163</v>
      </c>
      <c r="AH66" s="5"/>
      <c r="AI66" s="5" t="s">
        <v>163</v>
      </c>
      <c r="AJ66" s="5"/>
      <c r="AK66" s="5" t="s">
        <v>163</v>
      </c>
      <c r="AL66" s="5"/>
      <c r="AM66" s="5" t="s">
        <v>163</v>
      </c>
      <c r="AN66" s="5"/>
      <c r="AO66" s="5" t="s">
        <v>163</v>
      </c>
      <c r="AP66" s="5"/>
      <c r="AQ66" s="70" t="s">
        <v>163</v>
      </c>
      <c r="AR66" s="5"/>
      <c r="AS66" s="70" t="s">
        <v>163</v>
      </c>
      <c r="AT66" s="5"/>
      <c r="AU66" s="5" t="s">
        <v>163</v>
      </c>
      <c r="AV66" s="5"/>
      <c r="AW66" s="78" t="s">
        <v>57</v>
      </c>
      <c r="AX66" s="5"/>
      <c r="AY66" s="5" t="s">
        <v>163</v>
      </c>
      <c r="AZ66" s="5"/>
      <c r="BA66" s="5" t="s">
        <v>163</v>
      </c>
      <c r="BB66" s="5"/>
      <c r="BC66" s="5" t="s">
        <v>163</v>
      </c>
      <c r="BD66" s="5"/>
      <c r="BE66" s="5" t="s">
        <v>163</v>
      </c>
      <c r="BF66" s="5"/>
      <c r="BG66" s="5" t="s">
        <v>163</v>
      </c>
      <c r="BH66" s="8"/>
    </row>
    <row r="67" spans="1:60" ht="12" hidden="1">
      <c r="A67" s="28" t="s">
        <v>58</v>
      </c>
      <c r="B67" s="5"/>
      <c r="C67" s="37">
        <f>G67-E67</f>
        <v>0</v>
      </c>
      <c r="D67" s="37"/>
      <c r="E67" s="37"/>
      <c r="F67" s="37"/>
      <c r="G67" s="37"/>
      <c r="H67" s="37"/>
      <c r="I67" s="37">
        <f>M67-K67</f>
        <v>0</v>
      </c>
      <c r="J67" s="37"/>
      <c r="K67" s="37">
        <f>SUM(BG67)</f>
        <v>0</v>
      </c>
      <c r="L67" s="37"/>
      <c r="M67" s="37"/>
      <c r="N67" s="37"/>
      <c r="O67" s="37"/>
      <c r="P67" s="37"/>
      <c r="Q67" s="37"/>
      <c r="R67" s="37"/>
      <c r="S67" s="37"/>
      <c r="T67" s="37"/>
      <c r="U67" s="37">
        <f>SUM(O67:S67)</f>
        <v>0</v>
      </c>
      <c r="V67" s="37"/>
      <c r="W67" s="78" t="s">
        <v>58</v>
      </c>
      <c r="X67" s="37"/>
      <c r="Y67" s="34"/>
      <c r="Z67" s="34"/>
      <c r="AA67" s="34"/>
      <c r="AB67" s="34"/>
      <c r="AC67" s="34"/>
      <c r="AD67" s="34"/>
      <c r="AE67" s="38">
        <f>+Y67-AA67-AC67</f>
        <v>0</v>
      </c>
      <c r="AF67" s="38"/>
      <c r="AG67" s="38"/>
      <c r="AH67" s="38"/>
      <c r="AI67" s="34"/>
      <c r="AJ67" s="34"/>
      <c r="AK67" s="34"/>
      <c r="AL67" s="34"/>
      <c r="AM67" s="34"/>
      <c r="AN67" s="34"/>
      <c r="AO67" s="38">
        <f>+AE67+AG67+AI67-AK67+AM67</f>
        <v>0</v>
      </c>
      <c r="AP67" s="38"/>
      <c r="AQ67" s="70" t="s">
        <v>163</v>
      </c>
      <c r="AR67" s="34"/>
      <c r="AS67" s="70" t="s">
        <v>163</v>
      </c>
      <c r="AT67" s="34"/>
      <c r="AU67" s="34">
        <f>+C67-I67</f>
        <v>0</v>
      </c>
      <c r="AV67" s="34"/>
      <c r="AW67" s="78" t="s">
        <v>58</v>
      </c>
      <c r="AX67" s="34"/>
      <c r="AY67" s="34"/>
      <c r="AZ67" s="34"/>
      <c r="BA67" s="34"/>
      <c r="BB67" s="34"/>
      <c r="BC67" s="34"/>
      <c r="BD67" s="34"/>
      <c r="BE67" s="34"/>
      <c r="BF67" s="34"/>
      <c r="BG67" s="34">
        <f>SUM(AY67:BE67)</f>
        <v>0</v>
      </c>
      <c r="BH67" s="8"/>
    </row>
    <row r="68" spans="1:60" ht="12" hidden="1">
      <c r="A68" s="28" t="s">
        <v>59</v>
      </c>
      <c r="B68" s="5"/>
      <c r="C68" s="37">
        <f>G68-E68</f>
        <v>0</v>
      </c>
      <c r="D68" s="37"/>
      <c r="E68" s="37"/>
      <c r="F68" s="37"/>
      <c r="G68" s="37"/>
      <c r="H68" s="37"/>
      <c r="I68" s="37">
        <f>M68-K68</f>
        <v>0</v>
      </c>
      <c r="J68" s="37"/>
      <c r="K68" s="37">
        <f>SUM(BG68)</f>
        <v>0</v>
      </c>
      <c r="L68" s="37"/>
      <c r="M68" s="37"/>
      <c r="N68" s="37"/>
      <c r="O68" s="37"/>
      <c r="P68" s="37"/>
      <c r="Q68" s="37"/>
      <c r="R68" s="37"/>
      <c r="S68" s="37"/>
      <c r="T68" s="37"/>
      <c r="U68" s="37">
        <f>SUM(O68:S68)</f>
        <v>0</v>
      </c>
      <c r="V68" s="37"/>
      <c r="W68" s="78" t="s">
        <v>59</v>
      </c>
      <c r="X68" s="37"/>
      <c r="Y68" s="34"/>
      <c r="Z68" s="34"/>
      <c r="AA68" s="34"/>
      <c r="AB68" s="34"/>
      <c r="AC68" s="34"/>
      <c r="AD68" s="34"/>
      <c r="AE68" s="38">
        <f>+Y68-AA68-AC68</f>
        <v>0</v>
      </c>
      <c r="AF68" s="38"/>
      <c r="AG68" s="38"/>
      <c r="AH68" s="38"/>
      <c r="AI68" s="34"/>
      <c r="AJ68" s="34"/>
      <c r="AK68" s="34"/>
      <c r="AL68" s="34"/>
      <c r="AM68" s="34"/>
      <c r="AN68" s="34"/>
      <c r="AO68" s="38">
        <f>+AE68+AG68+AI68-AK68+AM68</f>
        <v>0</v>
      </c>
      <c r="AP68" s="38"/>
      <c r="AQ68" s="70" t="s">
        <v>163</v>
      </c>
      <c r="AR68" s="34"/>
      <c r="AS68" s="70" t="s">
        <v>163</v>
      </c>
      <c r="AT68" s="34"/>
      <c r="AU68" s="34">
        <f>+C68-I68</f>
        <v>0</v>
      </c>
      <c r="AV68" s="34"/>
      <c r="AW68" s="78" t="s">
        <v>59</v>
      </c>
      <c r="AX68" s="34"/>
      <c r="AY68" s="34"/>
      <c r="AZ68" s="34"/>
      <c r="BA68" s="34"/>
      <c r="BB68" s="34"/>
      <c r="BC68" s="34"/>
      <c r="BD68" s="34"/>
      <c r="BE68" s="34"/>
      <c r="BF68" s="34"/>
      <c r="BG68" s="34">
        <f>SUM(AY68:BE68)</f>
        <v>0</v>
      </c>
      <c r="BH68" s="8"/>
    </row>
    <row r="69" spans="1:60" ht="12" hidden="1">
      <c r="A69" s="28" t="s">
        <v>60</v>
      </c>
      <c r="B69" s="5"/>
      <c r="C69" s="37">
        <f>G69-E69</f>
        <v>0</v>
      </c>
      <c r="D69" s="37"/>
      <c r="E69" s="37"/>
      <c r="F69" s="37"/>
      <c r="G69" s="37"/>
      <c r="H69" s="37"/>
      <c r="I69" s="37">
        <f>M69-K69</f>
        <v>0</v>
      </c>
      <c r="J69" s="37"/>
      <c r="K69" s="37">
        <f>SUM(BG69)</f>
        <v>0</v>
      </c>
      <c r="L69" s="37"/>
      <c r="M69" s="37"/>
      <c r="N69" s="37"/>
      <c r="O69" s="37"/>
      <c r="P69" s="37"/>
      <c r="Q69" s="37"/>
      <c r="R69" s="37"/>
      <c r="S69" s="37"/>
      <c r="T69" s="37"/>
      <c r="U69" s="37">
        <f>SUM(O69:S69)</f>
        <v>0</v>
      </c>
      <c r="V69" s="37"/>
      <c r="W69" s="78" t="s">
        <v>60</v>
      </c>
      <c r="X69" s="37"/>
      <c r="Y69" s="34"/>
      <c r="Z69" s="34"/>
      <c r="AA69" s="34"/>
      <c r="AB69" s="34"/>
      <c r="AC69" s="34"/>
      <c r="AD69" s="34"/>
      <c r="AE69" s="38">
        <f>+Y69-AA69-AC69</f>
        <v>0</v>
      </c>
      <c r="AF69" s="38"/>
      <c r="AG69" s="38"/>
      <c r="AH69" s="38"/>
      <c r="AI69" s="34"/>
      <c r="AJ69" s="34"/>
      <c r="AK69" s="34"/>
      <c r="AL69" s="34"/>
      <c r="AM69" s="34"/>
      <c r="AN69" s="34"/>
      <c r="AO69" s="38">
        <f>+AE69+AG69+AI69-AK69+AM69</f>
        <v>0</v>
      </c>
      <c r="AP69" s="38"/>
      <c r="AQ69" s="70" t="s">
        <v>163</v>
      </c>
      <c r="AR69" s="34"/>
      <c r="AS69" s="70" t="s">
        <v>163</v>
      </c>
      <c r="AT69" s="34"/>
      <c r="AU69" s="34">
        <f>+C69-I69</f>
        <v>0</v>
      </c>
      <c r="AV69" s="34"/>
      <c r="AW69" s="78" t="s">
        <v>60</v>
      </c>
      <c r="AX69" s="34"/>
      <c r="AY69" s="34"/>
      <c r="AZ69" s="34"/>
      <c r="BA69" s="34"/>
      <c r="BB69" s="34"/>
      <c r="BC69" s="34"/>
      <c r="BD69" s="34"/>
      <c r="BE69" s="34"/>
      <c r="BF69" s="34"/>
      <c r="BG69" s="34">
        <f>SUM(AY69:BE69)</f>
        <v>0</v>
      </c>
      <c r="BH69" s="8"/>
    </row>
    <row r="70" spans="1:60" ht="12" hidden="1">
      <c r="A70" s="28" t="s">
        <v>61</v>
      </c>
      <c r="B70" s="5"/>
      <c r="C70" s="37">
        <f>G70-E70</f>
        <v>0</v>
      </c>
      <c r="D70" s="37"/>
      <c r="E70" s="37"/>
      <c r="F70" s="37"/>
      <c r="G70" s="37"/>
      <c r="H70" s="37"/>
      <c r="I70" s="37">
        <f>M70-K70</f>
        <v>0</v>
      </c>
      <c r="J70" s="37"/>
      <c r="K70" s="37">
        <f>SUM(BG70)</f>
        <v>0</v>
      </c>
      <c r="L70" s="37"/>
      <c r="M70" s="37"/>
      <c r="N70" s="37"/>
      <c r="O70" s="37"/>
      <c r="P70" s="37"/>
      <c r="Q70" s="37"/>
      <c r="R70" s="37"/>
      <c r="S70" s="37"/>
      <c r="T70" s="37"/>
      <c r="U70" s="37">
        <f>SUM(O70:S70)</f>
        <v>0</v>
      </c>
      <c r="V70" s="37"/>
      <c r="W70" s="78" t="s">
        <v>61</v>
      </c>
      <c r="X70" s="37"/>
      <c r="Y70" s="34"/>
      <c r="Z70" s="34"/>
      <c r="AA70" s="34"/>
      <c r="AB70" s="34"/>
      <c r="AC70" s="34"/>
      <c r="AD70" s="34"/>
      <c r="AE70" s="38">
        <f>+Y70-AA70-AC70</f>
        <v>0</v>
      </c>
      <c r="AF70" s="38"/>
      <c r="AG70" s="38"/>
      <c r="AH70" s="38"/>
      <c r="AI70" s="34"/>
      <c r="AJ70" s="34"/>
      <c r="AK70" s="34"/>
      <c r="AL70" s="34"/>
      <c r="AM70" s="34"/>
      <c r="AN70" s="34"/>
      <c r="AO70" s="38">
        <f>+AE70+AG70+AI70-AK70+AM70</f>
        <v>0</v>
      </c>
      <c r="AP70" s="38"/>
      <c r="AQ70" s="70" t="s">
        <v>163</v>
      </c>
      <c r="AR70" s="34"/>
      <c r="AS70" s="70" t="s">
        <v>163</v>
      </c>
      <c r="AT70" s="34"/>
      <c r="AU70" s="34">
        <f>+C70-I70</f>
        <v>0</v>
      </c>
      <c r="AV70" s="34"/>
      <c r="AW70" s="78" t="s">
        <v>61</v>
      </c>
      <c r="AX70" s="34"/>
      <c r="AY70" s="34"/>
      <c r="AZ70" s="34"/>
      <c r="BA70" s="34"/>
      <c r="BB70" s="34"/>
      <c r="BC70" s="34"/>
      <c r="BD70" s="34"/>
      <c r="BE70" s="34"/>
      <c r="BF70" s="34"/>
      <c r="BG70" s="34">
        <f>SUM(AY70:BE70)</f>
        <v>0</v>
      </c>
      <c r="BH70" s="8"/>
    </row>
    <row r="71" spans="1:60" ht="12" hidden="1">
      <c r="A71" s="28" t="s">
        <v>100</v>
      </c>
      <c r="B71" s="5"/>
      <c r="C71" s="37">
        <f>G71-E71</f>
        <v>0</v>
      </c>
      <c r="D71" s="37"/>
      <c r="E71" s="37"/>
      <c r="F71" s="37"/>
      <c r="G71" s="37"/>
      <c r="H71" s="37"/>
      <c r="I71" s="37">
        <f>M71-K71</f>
        <v>0</v>
      </c>
      <c r="J71" s="37"/>
      <c r="K71" s="37">
        <f>SUM(BG71)</f>
        <v>0</v>
      </c>
      <c r="L71" s="37"/>
      <c r="M71" s="37"/>
      <c r="N71" s="37"/>
      <c r="O71" s="37"/>
      <c r="P71" s="37"/>
      <c r="Q71" s="37"/>
      <c r="R71" s="37"/>
      <c r="S71" s="37"/>
      <c r="T71" s="37"/>
      <c r="U71" s="37">
        <f>SUM(O71:S71)</f>
        <v>0</v>
      </c>
      <c r="V71" s="37"/>
      <c r="W71" s="78" t="s">
        <v>100</v>
      </c>
      <c r="X71" s="37"/>
      <c r="Y71" s="34"/>
      <c r="Z71" s="34"/>
      <c r="AA71" s="34"/>
      <c r="AB71" s="34"/>
      <c r="AC71" s="34"/>
      <c r="AD71" s="34"/>
      <c r="AE71" s="38">
        <f>+Y71-AA71-AC71</f>
        <v>0</v>
      </c>
      <c r="AF71" s="38"/>
      <c r="AG71" s="38"/>
      <c r="AH71" s="38"/>
      <c r="AI71" s="34"/>
      <c r="AJ71" s="34"/>
      <c r="AK71" s="34"/>
      <c r="AL71" s="34"/>
      <c r="AM71" s="34"/>
      <c r="AN71" s="34"/>
      <c r="AO71" s="38">
        <f>+AE71+AG71+AI71-AK71+AM71</f>
        <v>0</v>
      </c>
      <c r="AP71" s="38"/>
      <c r="AQ71" s="70" t="s">
        <v>163</v>
      </c>
      <c r="AR71" s="34"/>
      <c r="AS71" s="70" t="s">
        <v>163</v>
      </c>
      <c r="AT71" s="34"/>
      <c r="AU71" s="34">
        <f>+C71-I71</f>
        <v>0</v>
      </c>
      <c r="AV71" s="34"/>
      <c r="AW71" s="78" t="s">
        <v>100</v>
      </c>
      <c r="AX71" s="34"/>
      <c r="AY71" s="34"/>
      <c r="AZ71" s="34"/>
      <c r="BA71" s="34"/>
      <c r="BB71" s="34"/>
      <c r="BC71" s="34"/>
      <c r="BD71" s="34"/>
      <c r="BE71" s="34"/>
      <c r="BF71" s="34"/>
      <c r="BG71" s="34">
        <f>SUM(AY71:BE71)</f>
        <v>0</v>
      </c>
      <c r="BH71" s="8"/>
    </row>
    <row r="72" spans="1:60" ht="12" hidden="1">
      <c r="A72" s="28" t="s">
        <v>63</v>
      </c>
      <c r="B72" s="5"/>
      <c r="C72" s="5" t="s">
        <v>163</v>
      </c>
      <c r="D72" s="5"/>
      <c r="E72" s="5" t="s">
        <v>163</v>
      </c>
      <c r="F72" s="5"/>
      <c r="G72" s="5" t="s">
        <v>163</v>
      </c>
      <c r="H72" s="5"/>
      <c r="I72" s="5" t="s">
        <v>163</v>
      </c>
      <c r="J72" s="5"/>
      <c r="K72" s="5" t="s">
        <v>163</v>
      </c>
      <c r="L72" s="5"/>
      <c r="M72" s="5" t="s">
        <v>163</v>
      </c>
      <c r="N72" s="5"/>
      <c r="O72" s="5" t="s">
        <v>163</v>
      </c>
      <c r="P72" s="5"/>
      <c r="Q72" s="5" t="s">
        <v>163</v>
      </c>
      <c r="R72" s="5"/>
      <c r="S72" s="5" t="s">
        <v>163</v>
      </c>
      <c r="T72" s="5"/>
      <c r="U72" s="5" t="s">
        <v>163</v>
      </c>
      <c r="V72" s="5"/>
      <c r="W72" s="78" t="s">
        <v>63</v>
      </c>
      <c r="X72" s="5"/>
      <c r="Y72" s="5" t="s">
        <v>163</v>
      </c>
      <c r="Z72" s="5"/>
      <c r="AA72" s="5" t="s">
        <v>163</v>
      </c>
      <c r="AB72" s="5"/>
      <c r="AC72" s="5" t="s">
        <v>163</v>
      </c>
      <c r="AD72" s="5"/>
      <c r="AE72" s="5" t="s">
        <v>163</v>
      </c>
      <c r="AF72" s="5"/>
      <c r="AG72" s="5" t="s">
        <v>163</v>
      </c>
      <c r="AH72" s="5"/>
      <c r="AI72" s="5" t="s">
        <v>163</v>
      </c>
      <c r="AJ72" s="5"/>
      <c r="AK72" s="5" t="s">
        <v>163</v>
      </c>
      <c r="AL72" s="5"/>
      <c r="AM72" s="5" t="s">
        <v>163</v>
      </c>
      <c r="AN72" s="5"/>
      <c r="AO72" s="5" t="s">
        <v>163</v>
      </c>
      <c r="AP72" s="5"/>
      <c r="AQ72" s="70" t="s">
        <v>163</v>
      </c>
      <c r="AR72" s="5"/>
      <c r="AS72" s="70" t="s">
        <v>163</v>
      </c>
      <c r="AT72" s="5"/>
      <c r="AU72" s="5" t="s">
        <v>163</v>
      </c>
      <c r="AV72" s="5"/>
      <c r="AW72" s="78" t="s">
        <v>63</v>
      </c>
      <c r="AX72" s="5"/>
      <c r="AY72" s="5" t="s">
        <v>163</v>
      </c>
      <c r="AZ72" s="5"/>
      <c r="BA72" s="5" t="s">
        <v>163</v>
      </c>
      <c r="BB72" s="5"/>
      <c r="BC72" s="5" t="s">
        <v>163</v>
      </c>
      <c r="BD72" s="5"/>
      <c r="BE72" s="5" t="s">
        <v>163</v>
      </c>
      <c r="BF72" s="5"/>
      <c r="BG72" s="5" t="s">
        <v>163</v>
      </c>
      <c r="BH72" s="8"/>
    </row>
    <row r="73" spans="1:60" ht="12" hidden="1">
      <c r="A73" s="28" t="s">
        <v>64</v>
      </c>
      <c r="B73" s="5"/>
      <c r="C73" s="5" t="s">
        <v>163</v>
      </c>
      <c r="D73" s="5"/>
      <c r="E73" s="5" t="s">
        <v>163</v>
      </c>
      <c r="F73" s="5"/>
      <c r="G73" s="5" t="s">
        <v>163</v>
      </c>
      <c r="H73" s="5"/>
      <c r="I73" s="5" t="s">
        <v>163</v>
      </c>
      <c r="J73" s="5"/>
      <c r="K73" s="5" t="s">
        <v>163</v>
      </c>
      <c r="L73" s="5"/>
      <c r="M73" s="5" t="s">
        <v>163</v>
      </c>
      <c r="N73" s="5"/>
      <c r="O73" s="5" t="s">
        <v>163</v>
      </c>
      <c r="P73" s="5"/>
      <c r="Q73" s="5" t="s">
        <v>163</v>
      </c>
      <c r="R73" s="5"/>
      <c r="S73" s="5" t="s">
        <v>163</v>
      </c>
      <c r="T73" s="5"/>
      <c r="U73" s="5" t="s">
        <v>163</v>
      </c>
      <c r="V73" s="5"/>
      <c r="W73" s="78" t="s">
        <v>64</v>
      </c>
      <c r="X73" s="5"/>
      <c r="Y73" s="5" t="s">
        <v>163</v>
      </c>
      <c r="Z73" s="5"/>
      <c r="AA73" s="5" t="s">
        <v>163</v>
      </c>
      <c r="AB73" s="5"/>
      <c r="AC73" s="5" t="s">
        <v>163</v>
      </c>
      <c r="AD73" s="5"/>
      <c r="AE73" s="5" t="s">
        <v>163</v>
      </c>
      <c r="AF73" s="5"/>
      <c r="AG73" s="5" t="s">
        <v>163</v>
      </c>
      <c r="AH73" s="5"/>
      <c r="AI73" s="5" t="s">
        <v>163</v>
      </c>
      <c r="AJ73" s="5"/>
      <c r="AK73" s="5" t="s">
        <v>163</v>
      </c>
      <c r="AL73" s="5"/>
      <c r="AM73" s="5" t="s">
        <v>163</v>
      </c>
      <c r="AN73" s="5"/>
      <c r="AO73" s="5" t="s">
        <v>163</v>
      </c>
      <c r="AP73" s="5"/>
      <c r="AQ73" s="70" t="s">
        <v>163</v>
      </c>
      <c r="AR73" s="5"/>
      <c r="AS73" s="70" t="s">
        <v>163</v>
      </c>
      <c r="AT73" s="5"/>
      <c r="AU73" s="5" t="s">
        <v>163</v>
      </c>
      <c r="AV73" s="5"/>
      <c r="AW73" s="78" t="s">
        <v>64</v>
      </c>
      <c r="AX73" s="5"/>
      <c r="AY73" s="5" t="s">
        <v>163</v>
      </c>
      <c r="AZ73" s="5"/>
      <c r="BA73" s="5" t="s">
        <v>163</v>
      </c>
      <c r="BB73" s="5"/>
      <c r="BC73" s="5" t="s">
        <v>163</v>
      </c>
      <c r="BD73" s="5"/>
      <c r="BE73" s="5" t="s">
        <v>163</v>
      </c>
      <c r="BF73" s="5"/>
      <c r="BG73" s="5" t="s">
        <v>163</v>
      </c>
      <c r="BH73" s="8"/>
    </row>
    <row r="74" spans="1:60" ht="12" hidden="1">
      <c r="A74" s="28" t="s">
        <v>65</v>
      </c>
      <c r="B74" s="5"/>
      <c r="C74" s="5" t="s">
        <v>163</v>
      </c>
      <c r="D74" s="5"/>
      <c r="E74" s="5" t="s">
        <v>163</v>
      </c>
      <c r="F74" s="5"/>
      <c r="G74" s="5" t="s">
        <v>163</v>
      </c>
      <c r="H74" s="5"/>
      <c r="I74" s="5" t="s">
        <v>163</v>
      </c>
      <c r="J74" s="5"/>
      <c r="K74" s="5" t="s">
        <v>163</v>
      </c>
      <c r="L74" s="5"/>
      <c r="M74" s="5" t="s">
        <v>163</v>
      </c>
      <c r="N74" s="5"/>
      <c r="O74" s="5" t="s">
        <v>163</v>
      </c>
      <c r="P74" s="5"/>
      <c r="Q74" s="5" t="s">
        <v>163</v>
      </c>
      <c r="R74" s="5"/>
      <c r="S74" s="5" t="s">
        <v>163</v>
      </c>
      <c r="T74" s="5"/>
      <c r="U74" s="5" t="s">
        <v>163</v>
      </c>
      <c r="V74" s="5"/>
      <c r="W74" s="78" t="s">
        <v>65</v>
      </c>
      <c r="X74" s="5"/>
      <c r="Y74" s="5" t="s">
        <v>163</v>
      </c>
      <c r="Z74" s="5"/>
      <c r="AA74" s="5" t="s">
        <v>163</v>
      </c>
      <c r="AB74" s="5"/>
      <c r="AC74" s="5" t="s">
        <v>163</v>
      </c>
      <c r="AD74" s="5"/>
      <c r="AE74" s="5" t="s">
        <v>163</v>
      </c>
      <c r="AF74" s="5"/>
      <c r="AG74" s="5" t="s">
        <v>163</v>
      </c>
      <c r="AH74" s="5"/>
      <c r="AI74" s="5" t="s">
        <v>163</v>
      </c>
      <c r="AJ74" s="5"/>
      <c r="AK74" s="5" t="s">
        <v>163</v>
      </c>
      <c r="AL74" s="5"/>
      <c r="AM74" s="5" t="s">
        <v>163</v>
      </c>
      <c r="AN74" s="5"/>
      <c r="AO74" s="5" t="s">
        <v>163</v>
      </c>
      <c r="AP74" s="5"/>
      <c r="AQ74" s="70" t="s">
        <v>163</v>
      </c>
      <c r="AR74" s="5"/>
      <c r="AS74" s="70" t="s">
        <v>163</v>
      </c>
      <c r="AT74" s="5"/>
      <c r="AU74" s="5" t="s">
        <v>163</v>
      </c>
      <c r="AV74" s="5"/>
      <c r="AW74" s="78" t="s">
        <v>65</v>
      </c>
      <c r="AX74" s="5"/>
      <c r="AY74" s="5" t="s">
        <v>163</v>
      </c>
      <c r="AZ74" s="5"/>
      <c r="BA74" s="5" t="s">
        <v>163</v>
      </c>
      <c r="BB74" s="5"/>
      <c r="BC74" s="5" t="s">
        <v>163</v>
      </c>
      <c r="BD74" s="5"/>
      <c r="BE74" s="5" t="s">
        <v>163</v>
      </c>
      <c r="BF74" s="5"/>
      <c r="BG74" s="5" t="s">
        <v>163</v>
      </c>
      <c r="BH74" s="8"/>
    </row>
    <row r="75" spans="1:60" ht="12" hidden="1">
      <c r="A75" s="28" t="s">
        <v>134</v>
      </c>
      <c r="B75" s="5"/>
      <c r="C75" s="5" t="s">
        <v>163</v>
      </c>
      <c r="D75" s="5"/>
      <c r="E75" s="5" t="s">
        <v>163</v>
      </c>
      <c r="F75" s="5"/>
      <c r="G75" s="5" t="s">
        <v>163</v>
      </c>
      <c r="H75" s="5"/>
      <c r="I75" s="5" t="s">
        <v>163</v>
      </c>
      <c r="J75" s="5"/>
      <c r="K75" s="5" t="s">
        <v>163</v>
      </c>
      <c r="L75" s="5"/>
      <c r="M75" s="5" t="s">
        <v>163</v>
      </c>
      <c r="N75" s="5"/>
      <c r="O75" s="5" t="s">
        <v>163</v>
      </c>
      <c r="P75" s="5"/>
      <c r="Q75" s="5" t="s">
        <v>163</v>
      </c>
      <c r="R75" s="5"/>
      <c r="S75" s="5" t="s">
        <v>163</v>
      </c>
      <c r="T75" s="5"/>
      <c r="U75" s="5" t="s">
        <v>163</v>
      </c>
      <c r="V75" s="5"/>
      <c r="W75" s="78" t="s">
        <v>134</v>
      </c>
      <c r="X75" s="5"/>
      <c r="Y75" s="5" t="s">
        <v>163</v>
      </c>
      <c r="Z75" s="5"/>
      <c r="AA75" s="5" t="s">
        <v>163</v>
      </c>
      <c r="AB75" s="5"/>
      <c r="AC75" s="5" t="s">
        <v>163</v>
      </c>
      <c r="AD75" s="5"/>
      <c r="AE75" s="5" t="s">
        <v>163</v>
      </c>
      <c r="AF75" s="5"/>
      <c r="AG75" s="5" t="s">
        <v>163</v>
      </c>
      <c r="AH75" s="5"/>
      <c r="AI75" s="5" t="s">
        <v>163</v>
      </c>
      <c r="AJ75" s="5"/>
      <c r="AK75" s="5" t="s">
        <v>163</v>
      </c>
      <c r="AL75" s="5"/>
      <c r="AM75" s="5" t="s">
        <v>163</v>
      </c>
      <c r="AN75" s="5"/>
      <c r="AO75" s="5" t="s">
        <v>163</v>
      </c>
      <c r="AP75" s="5"/>
      <c r="AQ75" s="70" t="s">
        <v>163</v>
      </c>
      <c r="AR75" s="5"/>
      <c r="AS75" s="70" t="s">
        <v>163</v>
      </c>
      <c r="AT75" s="5"/>
      <c r="AU75" s="5" t="s">
        <v>163</v>
      </c>
      <c r="AV75" s="5"/>
      <c r="AW75" s="78" t="s">
        <v>134</v>
      </c>
      <c r="AX75" s="5"/>
      <c r="AY75" s="5" t="s">
        <v>163</v>
      </c>
      <c r="AZ75" s="5"/>
      <c r="BA75" s="5" t="s">
        <v>163</v>
      </c>
      <c r="BB75" s="5"/>
      <c r="BC75" s="5" t="s">
        <v>163</v>
      </c>
      <c r="BD75" s="5"/>
      <c r="BE75" s="5" t="s">
        <v>163</v>
      </c>
      <c r="BF75" s="5"/>
      <c r="BG75" s="5" t="s">
        <v>163</v>
      </c>
      <c r="BH75" s="8"/>
    </row>
    <row r="76" spans="1:60" ht="12" hidden="1">
      <c r="A76" s="28" t="s">
        <v>66</v>
      </c>
      <c r="B76" s="5"/>
      <c r="C76" s="5" t="s">
        <v>163</v>
      </c>
      <c r="D76" s="5"/>
      <c r="E76" s="5" t="s">
        <v>163</v>
      </c>
      <c r="F76" s="5"/>
      <c r="G76" s="5" t="s">
        <v>163</v>
      </c>
      <c r="H76" s="5"/>
      <c r="I76" s="5" t="s">
        <v>163</v>
      </c>
      <c r="J76" s="5"/>
      <c r="K76" s="5" t="s">
        <v>163</v>
      </c>
      <c r="L76" s="5"/>
      <c r="M76" s="5" t="s">
        <v>163</v>
      </c>
      <c r="N76" s="5"/>
      <c r="O76" s="5" t="s">
        <v>163</v>
      </c>
      <c r="P76" s="5"/>
      <c r="Q76" s="5" t="s">
        <v>163</v>
      </c>
      <c r="R76" s="5"/>
      <c r="S76" s="5" t="s">
        <v>163</v>
      </c>
      <c r="T76" s="5"/>
      <c r="U76" s="5" t="s">
        <v>163</v>
      </c>
      <c r="V76" s="5"/>
      <c r="W76" s="78" t="s">
        <v>66</v>
      </c>
      <c r="X76" s="5"/>
      <c r="Y76" s="5" t="s">
        <v>163</v>
      </c>
      <c r="Z76" s="5"/>
      <c r="AA76" s="5" t="s">
        <v>163</v>
      </c>
      <c r="AB76" s="5"/>
      <c r="AC76" s="5" t="s">
        <v>163</v>
      </c>
      <c r="AD76" s="5"/>
      <c r="AE76" s="5" t="s">
        <v>163</v>
      </c>
      <c r="AF76" s="5"/>
      <c r="AG76" s="5" t="s">
        <v>163</v>
      </c>
      <c r="AH76" s="5"/>
      <c r="AI76" s="5" t="s">
        <v>163</v>
      </c>
      <c r="AJ76" s="5"/>
      <c r="AK76" s="5" t="s">
        <v>163</v>
      </c>
      <c r="AL76" s="5"/>
      <c r="AM76" s="5" t="s">
        <v>163</v>
      </c>
      <c r="AN76" s="5"/>
      <c r="AO76" s="5" t="s">
        <v>163</v>
      </c>
      <c r="AP76" s="5"/>
      <c r="AQ76" s="70" t="s">
        <v>163</v>
      </c>
      <c r="AR76" s="5"/>
      <c r="AS76" s="70" t="s">
        <v>163</v>
      </c>
      <c r="AT76" s="5"/>
      <c r="AU76" s="5" t="s">
        <v>163</v>
      </c>
      <c r="AV76" s="5"/>
      <c r="AW76" s="78" t="s">
        <v>66</v>
      </c>
      <c r="AX76" s="5"/>
      <c r="AY76" s="5" t="s">
        <v>163</v>
      </c>
      <c r="AZ76" s="5"/>
      <c r="BA76" s="5" t="s">
        <v>163</v>
      </c>
      <c r="BB76" s="5"/>
      <c r="BC76" s="5" t="s">
        <v>163</v>
      </c>
      <c r="BD76" s="5"/>
      <c r="BE76" s="5" t="s">
        <v>163</v>
      </c>
      <c r="BF76" s="5"/>
      <c r="BG76" s="5" t="s">
        <v>163</v>
      </c>
      <c r="BH76" s="8"/>
    </row>
    <row r="77" spans="1:60" ht="12" hidden="1">
      <c r="A77" s="28" t="s">
        <v>67</v>
      </c>
      <c r="B77" s="5"/>
      <c r="C77" s="5" t="s">
        <v>163</v>
      </c>
      <c r="D77" s="5"/>
      <c r="E77" s="5" t="s">
        <v>163</v>
      </c>
      <c r="F77" s="5"/>
      <c r="G77" s="5" t="s">
        <v>163</v>
      </c>
      <c r="H77" s="5"/>
      <c r="I77" s="5" t="s">
        <v>163</v>
      </c>
      <c r="J77" s="5"/>
      <c r="K77" s="5" t="s">
        <v>163</v>
      </c>
      <c r="L77" s="5"/>
      <c r="M77" s="5" t="s">
        <v>163</v>
      </c>
      <c r="N77" s="5"/>
      <c r="O77" s="5" t="s">
        <v>163</v>
      </c>
      <c r="P77" s="5"/>
      <c r="Q77" s="5" t="s">
        <v>163</v>
      </c>
      <c r="R77" s="5"/>
      <c r="S77" s="5" t="s">
        <v>163</v>
      </c>
      <c r="T77" s="5"/>
      <c r="U77" s="5" t="s">
        <v>163</v>
      </c>
      <c r="V77" s="5"/>
      <c r="W77" s="78" t="s">
        <v>67</v>
      </c>
      <c r="X77" s="5"/>
      <c r="Y77" s="5" t="s">
        <v>163</v>
      </c>
      <c r="Z77" s="5"/>
      <c r="AA77" s="5" t="s">
        <v>163</v>
      </c>
      <c r="AB77" s="5"/>
      <c r="AC77" s="5" t="s">
        <v>163</v>
      </c>
      <c r="AD77" s="5"/>
      <c r="AE77" s="5" t="s">
        <v>163</v>
      </c>
      <c r="AF77" s="5"/>
      <c r="AG77" s="5" t="s">
        <v>163</v>
      </c>
      <c r="AH77" s="5"/>
      <c r="AI77" s="5" t="s">
        <v>163</v>
      </c>
      <c r="AJ77" s="5"/>
      <c r="AK77" s="5" t="s">
        <v>163</v>
      </c>
      <c r="AL77" s="5"/>
      <c r="AM77" s="5" t="s">
        <v>163</v>
      </c>
      <c r="AN77" s="5"/>
      <c r="AO77" s="5" t="s">
        <v>163</v>
      </c>
      <c r="AP77" s="5"/>
      <c r="AQ77" s="70" t="s">
        <v>163</v>
      </c>
      <c r="AR77" s="5"/>
      <c r="AS77" s="70" t="s">
        <v>163</v>
      </c>
      <c r="AT77" s="5"/>
      <c r="AU77" s="5" t="s">
        <v>163</v>
      </c>
      <c r="AV77" s="5"/>
      <c r="AW77" s="78" t="s">
        <v>67</v>
      </c>
      <c r="AX77" s="5"/>
      <c r="AY77" s="5" t="s">
        <v>163</v>
      </c>
      <c r="AZ77" s="5"/>
      <c r="BA77" s="5" t="s">
        <v>163</v>
      </c>
      <c r="BB77" s="5"/>
      <c r="BC77" s="5" t="s">
        <v>163</v>
      </c>
      <c r="BD77" s="5"/>
      <c r="BE77" s="5" t="s">
        <v>163</v>
      </c>
      <c r="BF77" s="5"/>
      <c r="BG77" s="5" t="s">
        <v>163</v>
      </c>
      <c r="BH77" s="8"/>
    </row>
    <row r="78" spans="1:60" ht="12" hidden="1">
      <c r="A78" s="28" t="s">
        <v>68</v>
      </c>
      <c r="B78" s="5"/>
      <c r="C78" s="5" t="s">
        <v>163</v>
      </c>
      <c r="D78" s="5"/>
      <c r="E78" s="5" t="s">
        <v>163</v>
      </c>
      <c r="F78" s="5"/>
      <c r="G78" s="5" t="s">
        <v>163</v>
      </c>
      <c r="H78" s="5"/>
      <c r="I78" s="5" t="s">
        <v>163</v>
      </c>
      <c r="J78" s="5"/>
      <c r="K78" s="5" t="s">
        <v>163</v>
      </c>
      <c r="L78" s="5"/>
      <c r="M78" s="5" t="s">
        <v>163</v>
      </c>
      <c r="N78" s="5"/>
      <c r="O78" s="5" t="s">
        <v>163</v>
      </c>
      <c r="P78" s="5"/>
      <c r="Q78" s="5" t="s">
        <v>163</v>
      </c>
      <c r="R78" s="5"/>
      <c r="S78" s="5" t="s">
        <v>163</v>
      </c>
      <c r="T78" s="5"/>
      <c r="U78" s="5" t="s">
        <v>163</v>
      </c>
      <c r="V78" s="5"/>
      <c r="W78" s="78" t="s">
        <v>68</v>
      </c>
      <c r="X78" s="5"/>
      <c r="Y78" s="5" t="s">
        <v>163</v>
      </c>
      <c r="Z78" s="5"/>
      <c r="AA78" s="5" t="s">
        <v>163</v>
      </c>
      <c r="AB78" s="5"/>
      <c r="AC78" s="5" t="s">
        <v>163</v>
      </c>
      <c r="AD78" s="5"/>
      <c r="AE78" s="5" t="s">
        <v>163</v>
      </c>
      <c r="AF78" s="5"/>
      <c r="AG78" s="5" t="s">
        <v>163</v>
      </c>
      <c r="AH78" s="5"/>
      <c r="AI78" s="5" t="s">
        <v>163</v>
      </c>
      <c r="AJ78" s="5"/>
      <c r="AK78" s="5" t="s">
        <v>163</v>
      </c>
      <c r="AL78" s="5"/>
      <c r="AM78" s="5" t="s">
        <v>163</v>
      </c>
      <c r="AN78" s="5"/>
      <c r="AO78" s="5" t="s">
        <v>163</v>
      </c>
      <c r="AP78" s="5"/>
      <c r="AQ78" s="70" t="s">
        <v>163</v>
      </c>
      <c r="AR78" s="5"/>
      <c r="AS78" s="70" t="s">
        <v>163</v>
      </c>
      <c r="AT78" s="5"/>
      <c r="AU78" s="5" t="s">
        <v>163</v>
      </c>
      <c r="AV78" s="5"/>
      <c r="AW78" s="78" t="s">
        <v>68</v>
      </c>
      <c r="AX78" s="5"/>
      <c r="AY78" s="5" t="s">
        <v>163</v>
      </c>
      <c r="AZ78" s="5"/>
      <c r="BA78" s="5" t="s">
        <v>163</v>
      </c>
      <c r="BB78" s="5"/>
      <c r="BC78" s="5" t="s">
        <v>163</v>
      </c>
      <c r="BD78" s="5"/>
      <c r="BE78" s="5" t="s">
        <v>163</v>
      </c>
      <c r="BF78" s="5"/>
      <c r="BG78" s="5" t="s">
        <v>163</v>
      </c>
      <c r="BH78" s="8"/>
    </row>
    <row r="79" spans="1:60" ht="12" hidden="1">
      <c r="A79" s="28" t="s">
        <v>187</v>
      </c>
      <c r="B79" s="5"/>
      <c r="C79" s="5" t="s">
        <v>163</v>
      </c>
      <c r="D79" s="5"/>
      <c r="E79" s="5" t="s">
        <v>163</v>
      </c>
      <c r="F79" s="5"/>
      <c r="G79" s="5" t="s">
        <v>163</v>
      </c>
      <c r="H79" s="5"/>
      <c r="I79" s="5" t="s">
        <v>163</v>
      </c>
      <c r="J79" s="5"/>
      <c r="K79" s="5" t="s">
        <v>163</v>
      </c>
      <c r="L79" s="5"/>
      <c r="M79" s="5" t="s">
        <v>163</v>
      </c>
      <c r="N79" s="5"/>
      <c r="O79" s="5" t="s">
        <v>163</v>
      </c>
      <c r="P79" s="5"/>
      <c r="Q79" s="5" t="s">
        <v>163</v>
      </c>
      <c r="R79" s="5"/>
      <c r="S79" s="5" t="s">
        <v>163</v>
      </c>
      <c r="T79" s="5"/>
      <c r="U79" s="5" t="s">
        <v>163</v>
      </c>
      <c r="V79" s="5"/>
      <c r="W79" s="78" t="s">
        <v>187</v>
      </c>
      <c r="X79" s="5"/>
      <c r="Y79" s="5" t="s">
        <v>163</v>
      </c>
      <c r="Z79" s="5"/>
      <c r="AA79" s="5" t="s">
        <v>163</v>
      </c>
      <c r="AB79" s="5"/>
      <c r="AC79" s="5" t="s">
        <v>163</v>
      </c>
      <c r="AD79" s="5"/>
      <c r="AE79" s="5" t="s">
        <v>163</v>
      </c>
      <c r="AF79" s="5"/>
      <c r="AG79" s="5" t="s">
        <v>163</v>
      </c>
      <c r="AH79" s="5"/>
      <c r="AI79" s="5" t="s">
        <v>163</v>
      </c>
      <c r="AJ79" s="5"/>
      <c r="AK79" s="5" t="s">
        <v>163</v>
      </c>
      <c r="AL79" s="5"/>
      <c r="AM79" s="5" t="s">
        <v>163</v>
      </c>
      <c r="AN79" s="5"/>
      <c r="AO79" s="5" t="s">
        <v>163</v>
      </c>
      <c r="AP79" s="5"/>
      <c r="AQ79" s="70" t="s">
        <v>163</v>
      </c>
      <c r="AR79" s="5"/>
      <c r="AS79" s="70" t="s">
        <v>163</v>
      </c>
      <c r="AT79" s="5"/>
      <c r="AU79" s="5" t="s">
        <v>163</v>
      </c>
      <c r="AV79" s="5"/>
      <c r="AW79" s="78" t="s">
        <v>187</v>
      </c>
      <c r="AX79" s="5"/>
      <c r="AY79" s="5" t="s">
        <v>163</v>
      </c>
      <c r="AZ79" s="5"/>
      <c r="BA79" s="5" t="s">
        <v>163</v>
      </c>
      <c r="BB79" s="5"/>
      <c r="BC79" s="5" t="s">
        <v>163</v>
      </c>
      <c r="BD79" s="5"/>
      <c r="BE79" s="5" t="s">
        <v>163</v>
      </c>
      <c r="BF79" s="5"/>
      <c r="BG79" s="5" t="s">
        <v>163</v>
      </c>
      <c r="BH79" s="8"/>
    </row>
    <row r="80" spans="1:60" ht="12">
      <c r="A80" s="28" t="s">
        <v>70</v>
      </c>
      <c r="B80" s="5"/>
      <c r="C80" s="37">
        <f>G80-E80</f>
        <v>1536969</v>
      </c>
      <c r="D80" s="37"/>
      <c r="E80" s="37">
        <v>1070741</v>
      </c>
      <c r="F80" s="37"/>
      <c r="G80" s="37">
        <v>2607710</v>
      </c>
      <c r="H80" s="37"/>
      <c r="I80" s="37">
        <f>M80-K80</f>
        <v>1179526</v>
      </c>
      <c r="J80" s="37"/>
      <c r="K80" s="37">
        <f>SUM(BG80)</f>
        <v>5548436</v>
      </c>
      <c r="L80" s="37"/>
      <c r="M80" s="37">
        <v>6727962</v>
      </c>
      <c r="N80" s="37"/>
      <c r="O80" s="37">
        <v>0</v>
      </c>
      <c r="P80" s="37"/>
      <c r="Q80" s="37">
        <v>0</v>
      </c>
      <c r="R80" s="37"/>
      <c r="S80" s="37">
        <v>-4120252</v>
      </c>
      <c r="T80" s="37"/>
      <c r="U80" s="37">
        <f>SUM(O80:S80)</f>
        <v>-4120252</v>
      </c>
      <c r="V80" s="37"/>
      <c r="W80" s="78" t="s">
        <v>70</v>
      </c>
      <c r="X80" s="37"/>
      <c r="Y80" s="34">
        <v>2257088</v>
      </c>
      <c r="Z80" s="34"/>
      <c r="AA80" s="34">
        <f>2245701-218622</f>
        <v>2027079</v>
      </c>
      <c r="AB80" s="34"/>
      <c r="AC80" s="34">
        <v>218622</v>
      </c>
      <c r="AD80" s="34"/>
      <c r="AE80" s="38">
        <f>+Y80-AA80-AC80</f>
        <v>11387</v>
      </c>
      <c r="AF80" s="38"/>
      <c r="AG80" s="38">
        <v>-169160</v>
      </c>
      <c r="AH80" s="38"/>
      <c r="AI80" s="34">
        <v>0</v>
      </c>
      <c r="AJ80" s="34"/>
      <c r="AK80" s="34">
        <v>0</v>
      </c>
      <c r="AL80" s="34"/>
      <c r="AM80" s="34">
        <v>0</v>
      </c>
      <c r="AN80" s="34"/>
      <c r="AO80" s="38">
        <f>+AE80+AG80+AI80-AK80+AM80</f>
        <v>-157773</v>
      </c>
      <c r="AP80" s="38"/>
      <c r="AQ80" s="70" t="s">
        <v>163</v>
      </c>
      <c r="AR80" s="34"/>
      <c r="AS80" s="70" t="s">
        <v>163</v>
      </c>
      <c r="AT80" s="34"/>
      <c r="AU80" s="34">
        <f>+C80-I80</f>
        <v>357443</v>
      </c>
      <c r="AV80" s="34"/>
      <c r="AW80" s="78" t="s">
        <v>70</v>
      </c>
      <c r="AX80" s="34"/>
      <c r="AY80" s="34">
        <v>3635812</v>
      </c>
      <c r="AZ80" s="34"/>
      <c r="BA80" s="34">
        <v>0</v>
      </c>
      <c r="BB80" s="34"/>
      <c r="BC80" s="34">
        <v>0</v>
      </c>
      <c r="BD80" s="34"/>
      <c r="BE80" s="34">
        <f>7890+32417+1872317</f>
        <v>1912624</v>
      </c>
      <c r="BF80" s="34"/>
      <c r="BG80" s="34">
        <f>SUM(AY80:BE80)</f>
        <v>5548436</v>
      </c>
      <c r="BH80" s="8"/>
    </row>
    <row r="81" spans="1:60" ht="12" hidden="1">
      <c r="A81" s="28" t="s">
        <v>186</v>
      </c>
      <c r="B81" s="5"/>
      <c r="C81" s="5" t="s">
        <v>163</v>
      </c>
      <c r="D81" s="5"/>
      <c r="E81" s="5" t="s">
        <v>163</v>
      </c>
      <c r="F81" s="5"/>
      <c r="G81" s="5" t="s">
        <v>163</v>
      </c>
      <c r="H81" s="5"/>
      <c r="I81" s="5" t="s">
        <v>163</v>
      </c>
      <c r="J81" s="5"/>
      <c r="K81" s="5" t="s">
        <v>163</v>
      </c>
      <c r="L81" s="5"/>
      <c r="M81" s="5" t="s">
        <v>163</v>
      </c>
      <c r="N81" s="5"/>
      <c r="O81" s="5" t="s">
        <v>163</v>
      </c>
      <c r="P81" s="5"/>
      <c r="Q81" s="5" t="s">
        <v>163</v>
      </c>
      <c r="R81" s="5"/>
      <c r="S81" s="5" t="s">
        <v>163</v>
      </c>
      <c r="T81" s="5"/>
      <c r="U81" s="5" t="s">
        <v>163</v>
      </c>
      <c r="V81" s="5"/>
      <c r="W81" s="78" t="s">
        <v>186</v>
      </c>
      <c r="X81" s="5"/>
      <c r="Y81" s="5" t="s">
        <v>163</v>
      </c>
      <c r="Z81" s="5"/>
      <c r="AA81" s="5" t="s">
        <v>163</v>
      </c>
      <c r="AB81" s="5"/>
      <c r="AC81" s="5" t="s">
        <v>163</v>
      </c>
      <c r="AD81" s="5"/>
      <c r="AE81" s="5" t="s">
        <v>163</v>
      </c>
      <c r="AF81" s="5"/>
      <c r="AG81" s="5" t="s">
        <v>163</v>
      </c>
      <c r="AH81" s="5"/>
      <c r="AI81" s="5" t="s">
        <v>163</v>
      </c>
      <c r="AJ81" s="5"/>
      <c r="AK81" s="5" t="s">
        <v>163</v>
      </c>
      <c r="AL81" s="5"/>
      <c r="AM81" s="5" t="s">
        <v>163</v>
      </c>
      <c r="AN81" s="5"/>
      <c r="AO81" s="5" t="s">
        <v>163</v>
      </c>
      <c r="AP81" s="5"/>
      <c r="AQ81" s="70" t="s">
        <v>163</v>
      </c>
      <c r="AR81" s="5"/>
      <c r="AS81" s="70" t="s">
        <v>163</v>
      </c>
      <c r="AT81" s="5"/>
      <c r="AU81" s="5" t="s">
        <v>163</v>
      </c>
      <c r="AV81" s="5"/>
      <c r="AW81" s="78" t="s">
        <v>186</v>
      </c>
      <c r="AX81" s="5"/>
      <c r="AY81" s="5" t="s">
        <v>163</v>
      </c>
      <c r="AZ81" s="5"/>
      <c r="BA81" s="5" t="s">
        <v>163</v>
      </c>
      <c r="BB81" s="5"/>
      <c r="BC81" s="5" t="s">
        <v>163</v>
      </c>
      <c r="BD81" s="5"/>
      <c r="BE81" s="5" t="s">
        <v>163</v>
      </c>
      <c r="BF81" s="5"/>
      <c r="BG81" s="5" t="s">
        <v>163</v>
      </c>
      <c r="BH81" s="8"/>
    </row>
    <row r="82" spans="1:60" ht="12" hidden="1">
      <c r="A82" s="28" t="s">
        <v>138</v>
      </c>
      <c r="B82" s="5"/>
      <c r="C82" s="5" t="s">
        <v>163</v>
      </c>
      <c r="D82" s="5"/>
      <c r="E82" s="5" t="s">
        <v>163</v>
      </c>
      <c r="F82" s="5"/>
      <c r="G82" s="5" t="s">
        <v>163</v>
      </c>
      <c r="H82" s="5"/>
      <c r="I82" s="5" t="s">
        <v>163</v>
      </c>
      <c r="J82" s="5"/>
      <c r="K82" s="5" t="s">
        <v>163</v>
      </c>
      <c r="L82" s="5"/>
      <c r="M82" s="5" t="s">
        <v>163</v>
      </c>
      <c r="N82" s="5"/>
      <c r="O82" s="5" t="s">
        <v>163</v>
      </c>
      <c r="P82" s="5"/>
      <c r="Q82" s="5" t="s">
        <v>163</v>
      </c>
      <c r="R82" s="5"/>
      <c r="S82" s="5" t="s">
        <v>163</v>
      </c>
      <c r="T82" s="5"/>
      <c r="U82" s="5" t="s">
        <v>163</v>
      </c>
      <c r="V82" s="5"/>
      <c r="W82" s="78" t="s">
        <v>138</v>
      </c>
      <c r="X82" s="5"/>
      <c r="Y82" s="5" t="s">
        <v>163</v>
      </c>
      <c r="Z82" s="5"/>
      <c r="AA82" s="5" t="s">
        <v>163</v>
      </c>
      <c r="AB82" s="5"/>
      <c r="AC82" s="5" t="s">
        <v>163</v>
      </c>
      <c r="AD82" s="5"/>
      <c r="AE82" s="5" t="s">
        <v>163</v>
      </c>
      <c r="AF82" s="5"/>
      <c r="AG82" s="5" t="s">
        <v>163</v>
      </c>
      <c r="AH82" s="5"/>
      <c r="AI82" s="5" t="s">
        <v>163</v>
      </c>
      <c r="AJ82" s="5"/>
      <c r="AK82" s="5" t="s">
        <v>163</v>
      </c>
      <c r="AL82" s="5"/>
      <c r="AM82" s="5" t="s">
        <v>163</v>
      </c>
      <c r="AN82" s="5"/>
      <c r="AO82" s="5" t="s">
        <v>163</v>
      </c>
      <c r="AP82" s="5"/>
      <c r="AQ82" s="70" t="s">
        <v>163</v>
      </c>
      <c r="AR82" s="5"/>
      <c r="AS82" s="70" t="s">
        <v>163</v>
      </c>
      <c r="AT82" s="5"/>
      <c r="AU82" s="5" t="s">
        <v>163</v>
      </c>
      <c r="AV82" s="5"/>
      <c r="AW82" s="78" t="s">
        <v>138</v>
      </c>
      <c r="AX82" s="5"/>
      <c r="AY82" s="5" t="s">
        <v>163</v>
      </c>
      <c r="AZ82" s="5"/>
      <c r="BA82" s="5" t="s">
        <v>163</v>
      </c>
      <c r="BB82" s="5"/>
      <c r="BC82" s="5" t="s">
        <v>163</v>
      </c>
      <c r="BD82" s="5"/>
      <c r="BE82" s="5" t="s">
        <v>163</v>
      </c>
      <c r="BF82" s="5"/>
      <c r="BG82" s="5" t="s">
        <v>163</v>
      </c>
      <c r="BH82" s="8"/>
    </row>
    <row r="83" spans="1:60" ht="12" hidden="1">
      <c r="A83" s="28" t="s">
        <v>71</v>
      </c>
      <c r="B83" s="5"/>
      <c r="C83" s="5" t="s">
        <v>163</v>
      </c>
      <c r="D83" s="5"/>
      <c r="E83" s="5" t="s">
        <v>163</v>
      </c>
      <c r="F83" s="5"/>
      <c r="G83" s="5" t="s">
        <v>163</v>
      </c>
      <c r="H83" s="5"/>
      <c r="I83" s="5" t="s">
        <v>163</v>
      </c>
      <c r="J83" s="5"/>
      <c r="K83" s="5" t="s">
        <v>163</v>
      </c>
      <c r="L83" s="5"/>
      <c r="M83" s="5" t="s">
        <v>163</v>
      </c>
      <c r="N83" s="5"/>
      <c r="O83" s="5" t="s">
        <v>163</v>
      </c>
      <c r="P83" s="5"/>
      <c r="Q83" s="5" t="s">
        <v>163</v>
      </c>
      <c r="R83" s="5"/>
      <c r="S83" s="5" t="s">
        <v>163</v>
      </c>
      <c r="T83" s="5"/>
      <c r="U83" s="5" t="s">
        <v>163</v>
      </c>
      <c r="V83" s="5"/>
      <c r="W83" s="78" t="s">
        <v>71</v>
      </c>
      <c r="X83" s="5"/>
      <c r="Y83" s="5" t="s">
        <v>163</v>
      </c>
      <c r="Z83" s="5"/>
      <c r="AA83" s="5" t="s">
        <v>163</v>
      </c>
      <c r="AB83" s="5"/>
      <c r="AC83" s="5" t="s">
        <v>163</v>
      </c>
      <c r="AD83" s="5"/>
      <c r="AE83" s="5" t="s">
        <v>163</v>
      </c>
      <c r="AF83" s="5"/>
      <c r="AG83" s="5" t="s">
        <v>163</v>
      </c>
      <c r="AH83" s="5"/>
      <c r="AI83" s="5" t="s">
        <v>163</v>
      </c>
      <c r="AJ83" s="5"/>
      <c r="AK83" s="5" t="s">
        <v>163</v>
      </c>
      <c r="AL83" s="5"/>
      <c r="AM83" s="5" t="s">
        <v>163</v>
      </c>
      <c r="AN83" s="5"/>
      <c r="AO83" s="5" t="s">
        <v>163</v>
      </c>
      <c r="AP83" s="5"/>
      <c r="AQ83" s="70" t="s">
        <v>163</v>
      </c>
      <c r="AR83" s="5"/>
      <c r="AS83" s="70" t="s">
        <v>163</v>
      </c>
      <c r="AT83" s="5"/>
      <c r="AU83" s="5" t="s">
        <v>163</v>
      </c>
      <c r="AV83" s="5"/>
      <c r="AW83" s="78" t="s">
        <v>71</v>
      </c>
      <c r="AX83" s="5"/>
      <c r="AY83" s="5" t="s">
        <v>163</v>
      </c>
      <c r="AZ83" s="5"/>
      <c r="BA83" s="5" t="s">
        <v>163</v>
      </c>
      <c r="BB83" s="5"/>
      <c r="BC83" s="5" t="s">
        <v>163</v>
      </c>
      <c r="BD83" s="5"/>
      <c r="BE83" s="5" t="s">
        <v>163</v>
      </c>
      <c r="BF83" s="5"/>
      <c r="BG83" s="5" t="s">
        <v>163</v>
      </c>
      <c r="BH83" s="8"/>
    </row>
    <row r="84" spans="1:60" ht="12" hidden="1">
      <c r="A84" s="28" t="s">
        <v>101</v>
      </c>
      <c r="B84" s="5"/>
      <c r="C84" s="5" t="s">
        <v>163</v>
      </c>
      <c r="D84" s="5"/>
      <c r="E84" s="5" t="s">
        <v>163</v>
      </c>
      <c r="F84" s="5"/>
      <c r="G84" s="5" t="s">
        <v>163</v>
      </c>
      <c r="H84" s="5"/>
      <c r="I84" s="5" t="s">
        <v>163</v>
      </c>
      <c r="J84" s="5"/>
      <c r="K84" s="5" t="s">
        <v>163</v>
      </c>
      <c r="L84" s="5"/>
      <c r="M84" s="5" t="s">
        <v>163</v>
      </c>
      <c r="N84" s="5"/>
      <c r="O84" s="5" t="s">
        <v>163</v>
      </c>
      <c r="P84" s="5"/>
      <c r="Q84" s="5" t="s">
        <v>163</v>
      </c>
      <c r="R84" s="5"/>
      <c r="S84" s="5" t="s">
        <v>163</v>
      </c>
      <c r="T84" s="5"/>
      <c r="U84" s="5" t="s">
        <v>163</v>
      </c>
      <c r="V84" s="5"/>
      <c r="W84" s="78" t="s">
        <v>101</v>
      </c>
      <c r="X84" s="5"/>
      <c r="Y84" s="5" t="s">
        <v>163</v>
      </c>
      <c r="Z84" s="5"/>
      <c r="AA84" s="5" t="s">
        <v>163</v>
      </c>
      <c r="AB84" s="5"/>
      <c r="AC84" s="5" t="s">
        <v>163</v>
      </c>
      <c r="AD84" s="5"/>
      <c r="AE84" s="5" t="s">
        <v>163</v>
      </c>
      <c r="AF84" s="5"/>
      <c r="AG84" s="5" t="s">
        <v>163</v>
      </c>
      <c r="AH84" s="5"/>
      <c r="AI84" s="5" t="s">
        <v>163</v>
      </c>
      <c r="AJ84" s="5"/>
      <c r="AK84" s="5" t="s">
        <v>163</v>
      </c>
      <c r="AL84" s="5"/>
      <c r="AM84" s="5" t="s">
        <v>163</v>
      </c>
      <c r="AN84" s="5"/>
      <c r="AO84" s="5" t="s">
        <v>163</v>
      </c>
      <c r="AP84" s="5"/>
      <c r="AQ84" s="70" t="s">
        <v>163</v>
      </c>
      <c r="AR84" s="5"/>
      <c r="AS84" s="70" t="s">
        <v>163</v>
      </c>
      <c r="AT84" s="5"/>
      <c r="AU84" s="5" t="s">
        <v>163</v>
      </c>
      <c r="AV84" s="5"/>
      <c r="AW84" s="78" t="s">
        <v>101</v>
      </c>
      <c r="AX84" s="5"/>
      <c r="AY84" s="5" t="s">
        <v>163</v>
      </c>
      <c r="AZ84" s="5"/>
      <c r="BA84" s="5" t="s">
        <v>163</v>
      </c>
      <c r="BB84" s="5"/>
      <c r="BC84" s="5" t="s">
        <v>163</v>
      </c>
      <c r="BD84" s="5"/>
      <c r="BE84" s="5" t="s">
        <v>163</v>
      </c>
      <c r="BF84" s="5"/>
      <c r="BG84" s="5" t="s">
        <v>163</v>
      </c>
      <c r="BH84" s="8"/>
    </row>
    <row r="85" spans="1:60" ht="12" hidden="1">
      <c r="A85" s="28" t="s">
        <v>73</v>
      </c>
      <c r="B85" s="5"/>
      <c r="C85" s="5" t="s">
        <v>163</v>
      </c>
      <c r="D85" s="5"/>
      <c r="E85" s="5" t="s">
        <v>163</v>
      </c>
      <c r="F85" s="5"/>
      <c r="G85" s="5" t="s">
        <v>163</v>
      </c>
      <c r="H85" s="5"/>
      <c r="I85" s="5" t="s">
        <v>163</v>
      </c>
      <c r="J85" s="5"/>
      <c r="K85" s="5" t="s">
        <v>163</v>
      </c>
      <c r="L85" s="5"/>
      <c r="M85" s="5" t="s">
        <v>163</v>
      </c>
      <c r="N85" s="5"/>
      <c r="O85" s="5" t="s">
        <v>163</v>
      </c>
      <c r="P85" s="5"/>
      <c r="Q85" s="5" t="s">
        <v>163</v>
      </c>
      <c r="R85" s="5"/>
      <c r="S85" s="5" t="s">
        <v>163</v>
      </c>
      <c r="T85" s="5"/>
      <c r="U85" s="5" t="s">
        <v>163</v>
      </c>
      <c r="V85" s="5"/>
      <c r="W85" s="78" t="s">
        <v>73</v>
      </c>
      <c r="X85" s="5"/>
      <c r="Y85" s="5" t="s">
        <v>163</v>
      </c>
      <c r="Z85" s="5"/>
      <c r="AA85" s="5" t="s">
        <v>163</v>
      </c>
      <c r="AB85" s="5"/>
      <c r="AC85" s="5" t="s">
        <v>163</v>
      </c>
      <c r="AD85" s="5"/>
      <c r="AE85" s="5" t="s">
        <v>163</v>
      </c>
      <c r="AF85" s="5"/>
      <c r="AG85" s="5" t="s">
        <v>163</v>
      </c>
      <c r="AH85" s="5"/>
      <c r="AI85" s="5" t="s">
        <v>163</v>
      </c>
      <c r="AJ85" s="5"/>
      <c r="AK85" s="5" t="s">
        <v>163</v>
      </c>
      <c r="AL85" s="5"/>
      <c r="AM85" s="5" t="s">
        <v>163</v>
      </c>
      <c r="AN85" s="5"/>
      <c r="AO85" s="5" t="s">
        <v>163</v>
      </c>
      <c r="AP85" s="5"/>
      <c r="AQ85" s="70" t="s">
        <v>163</v>
      </c>
      <c r="AR85" s="5"/>
      <c r="AS85" s="70" t="s">
        <v>163</v>
      </c>
      <c r="AT85" s="5"/>
      <c r="AU85" s="5" t="s">
        <v>163</v>
      </c>
      <c r="AV85" s="5"/>
      <c r="AW85" s="78" t="s">
        <v>73</v>
      </c>
      <c r="AX85" s="5"/>
      <c r="AY85" s="5" t="s">
        <v>163</v>
      </c>
      <c r="AZ85" s="5"/>
      <c r="BA85" s="5" t="s">
        <v>163</v>
      </c>
      <c r="BB85" s="5"/>
      <c r="BC85" s="5" t="s">
        <v>163</v>
      </c>
      <c r="BD85" s="5"/>
      <c r="BE85" s="5" t="s">
        <v>163</v>
      </c>
      <c r="BF85" s="5"/>
      <c r="BG85" s="5" t="s">
        <v>163</v>
      </c>
      <c r="BH85" s="8"/>
    </row>
    <row r="86" spans="1:60" ht="12" hidden="1">
      <c r="A86" s="28" t="s">
        <v>74</v>
      </c>
      <c r="B86" s="5"/>
      <c r="C86" s="5" t="s">
        <v>163</v>
      </c>
      <c r="D86" s="5"/>
      <c r="E86" s="5" t="s">
        <v>163</v>
      </c>
      <c r="F86" s="5"/>
      <c r="G86" s="5" t="s">
        <v>163</v>
      </c>
      <c r="H86" s="5"/>
      <c r="I86" s="5" t="s">
        <v>163</v>
      </c>
      <c r="J86" s="5"/>
      <c r="K86" s="5" t="s">
        <v>163</v>
      </c>
      <c r="L86" s="5"/>
      <c r="M86" s="5" t="s">
        <v>163</v>
      </c>
      <c r="N86" s="5"/>
      <c r="O86" s="5" t="s">
        <v>163</v>
      </c>
      <c r="P86" s="5"/>
      <c r="Q86" s="5" t="s">
        <v>163</v>
      </c>
      <c r="R86" s="5"/>
      <c r="S86" s="5" t="s">
        <v>163</v>
      </c>
      <c r="T86" s="5"/>
      <c r="U86" s="5" t="s">
        <v>163</v>
      </c>
      <c r="V86" s="5"/>
      <c r="W86" s="78" t="s">
        <v>74</v>
      </c>
      <c r="X86" s="5"/>
      <c r="Y86" s="5" t="s">
        <v>163</v>
      </c>
      <c r="Z86" s="5"/>
      <c r="AA86" s="5" t="s">
        <v>163</v>
      </c>
      <c r="AB86" s="5"/>
      <c r="AC86" s="5" t="s">
        <v>163</v>
      </c>
      <c r="AD86" s="5"/>
      <c r="AE86" s="5" t="s">
        <v>163</v>
      </c>
      <c r="AF86" s="5"/>
      <c r="AG86" s="5" t="s">
        <v>163</v>
      </c>
      <c r="AH86" s="5"/>
      <c r="AI86" s="5" t="s">
        <v>163</v>
      </c>
      <c r="AJ86" s="5"/>
      <c r="AK86" s="5" t="s">
        <v>163</v>
      </c>
      <c r="AL86" s="5"/>
      <c r="AM86" s="5" t="s">
        <v>163</v>
      </c>
      <c r="AN86" s="5"/>
      <c r="AO86" s="5" t="s">
        <v>163</v>
      </c>
      <c r="AP86" s="5"/>
      <c r="AQ86" s="70" t="s">
        <v>163</v>
      </c>
      <c r="AR86" s="5"/>
      <c r="AS86" s="70" t="s">
        <v>163</v>
      </c>
      <c r="AT86" s="5"/>
      <c r="AU86" s="5" t="s">
        <v>163</v>
      </c>
      <c r="AV86" s="5"/>
      <c r="AW86" s="78" t="s">
        <v>74</v>
      </c>
      <c r="AX86" s="5"/>
      <c r="AY86" s="5" t="s">
        <v>163</v>
      </c>
      <c r="AZ86" s="5"/>
      <c r="BA86" s="5" t="s">
        <v>163</v>
      </c>
      <c r="BB86" s="5"/>
      <c r="BC86" s="5" t="s">
        <v>163</v>
      </c>
      <c r="BD86" s="5"/>
      <c r="BE86" s="5" t="s">
        <v>163</v>
      </c>
      <c r="BF86" s="5"/>
      <c r="BG86" s="5" t="s">
        <v>163</v>
      </c>
      <c r="BH86" s="8"/>
    </row>
    <row r="87" spans="1:60" ht="12">
      <c r="A87" s="28" t="s">
        <v>75</v>
      </c>
      <c r="B87" s="5"/>
      <c r="C87" s="37">
        <f>G87-E87</f>
        <v>69454</v>
      </c>
      <c r="D87" s="37"/>
      <c r="E87" s="37">
        <f>+G87-69454</f>
        <v>373144</v>
      </c>
      <c r="F87" s="37"/>
      <c r="G87" s="37">
        <f>442598</f>
        <v>442598</v>
      </c>
      <c r="H87" s="37"/>
      <c r="I87" s="37">
        <f>M87-K87</f>
        <v>0</v>
      </c>
      <c r="J87" s="37"/>
      <c r="K87" s="37">
        <f>SUM(BG87)</f>
        <v>0</v>
      </c>
      <c r="L87" s="37"/>
      <c r="M87" s="37">
        <v>0</v>
      </c>
      <c r="N87" s="37"/>
      <c r="O87" s="37">
        <v>0</v>
      </c>
      <c r="P87" s="37"/>
      <c r="Q87" s="37">
        <v>0</v>
      </c>
      <c r="R87" s="37"/>
      <c r="S87" s="37">
        <v>442598</v>
      </c>
      <c r="T87" s="37"/>
      <c r="U87" s="37">
        <f>SUM(O87:S87)</f>
        <v>442598</v>
      </c>
      <c r="V87" s="37"/>
      <c r="W87" s="78" t="s">
        <v>75</v>
      </c>
      <c r="X87" s="37"/>
      <c r="Y87" s="34">
        <v>-11418</v>
      </c>
      <c r="Z87" s="34"/>
      <c r="AA87" s="34">
        <v>0</v>
      </c>
      <c r="AB87" s="34"/>
      <c r="AC87" s="34">
        <v>15660</v>
      </c>
      <c r="AD87" s="34"/>
      <c r="AE87" s="38">
        <f>+Y87-AA87-AC87</f>
        <v>-27078</v>
      </c>
      <c r="AF87" s="38"/>
      <c r="AG87" s="38">
        <v>0</v>
      </c>
      <c r="AH87" s="38"/>
      <c r="AI87" s="34">
        <v>0</v>
      </c>
      <c r="AJ87" s="34"/>
      <c r="AK87" s="34">
        <v>0</v>
      </c>
      <c r="AL87" s="34"/>
      <c r="AM87" s="34">
        <v>0</v>
      </c>
      <c r="AN87" s="34"/>
      <c r="AO87" s="38">
        <f>+AE87+AG87+AI87-AK87+AM87</f>
        <v>-27078</v>
      </c>
      <c r="AP87" s="38"/>
      <c r="AQ87" s="70" t="s">
        <v>163</v>
      </c>
      <c r="AR87" s="34"/>
      <c r="AS87" s="70" t="s">
        <v>163</v>
      </c>
      <c r="AT87" s="34"/>
      <c r="AU87" s="34">
        <f>+C87-I87</f>
        <v>69454</v>
      </c>
      <c r="AV87" s="34"/>
      <c r="AW87" s="78" t="s">
        <v>75</v>
      </c>
      <c r="AX87" s="34"/>
      <c r="AY87" s="34">
        <v>0</v>
      </c>
      <c r="AZ87" s="34"/>
      <c r="BA87" s="34">
        <v>0</v>
      </c>
      <c r="BB87" s="34"/>
      <c r="BC87" s="34">
        <v>0</v>
      </c>
      <c r="BD87" s="34"/>
      <c r="BE87" s="34">
        <v>0</v>
      </c>
      <c r="BF87" s="34"/>
      <c r="BG87" s="34">
        <f>SUM(AY87:BE87)</f>
        <v>0</v>
      </c>
      <c r="BH87" s="8"/>
    </row>
    <row r="88" spans="1:60" ht="12" hidden="1">
      <c r="A88" s="28" t="s">
        <v>76</v>
      </c>
      <c r="B88" s="5"/>
      <c r="C88" s="5" t="s">
        <v>163</v>
      </c>
      <c r="D88" s="5"/>
      <c r="E88" s="5" t="s">
        <v>163</v>
      </c>
      <c r="F88" s="5"/>
      <c r="G88" s="5" t="s">
        <v>163</v>
      </c>
      <c r="H88" s="5"/>
      <c r="I88" s="5" t="s">
        <v>163</v>
      </c>
      <c r="J88" s="5"/>
      <c r="K88" s="5" t="s">
        <v>163</v>
      </c>
      <c r="L88" s="5"/>
      <c r="M88" s="5" t="s">
        <v>163</v>
      </c>
      <c r="N88" s="5"/>
      <c r="O88" s="5" t="s">
        <v>163</v>
      </c>
      <c r="P88" s="5"/>
      <c r="Q88" s="5" t="s">
        <v>163</v>
      </c>
      <c r="R88" s="5"/>
      <c r="S88" s="5" t="s">
        <v>163</v>
      </c>
      <c r="T88" s="5"/>
      <c r="U88" s="5" t="s">
        <v>163</v>
      </c>
      <c r="V88" s="5"/>
      <c r="W88" s="78" t="s">
        <v>76</v>
      </c>
      <c r="X88" s="5"/>
      <c r="Y88" s="5" t="s">
        <v>163</v>
      </c>
      <c r="Z88" s="5"/>
      <c r="AA88" s="5" t="s">
        <v>163</v>
      </c>
      <c r="AB88" s="5"/>
      <c r="AC88" s="5" t="s">
        <v>163</v>
      </c>
      <c r="AD88" s="5"/>
      <c r="AE88" s="5" t="s">
        <v>163</v>
      </c>
      <c r="AF88" s="5"/>
      <c r="AG88" s="5" t="s">
        <v>163</v>
      </c>
      <c r="AH88" s="5"/>
      <c r="AI88" s="5" t="s">
        <v>163</v>
      </c>
      <c r="AJ88" s="5"/>
      <c r="AK88" s="5" t="s">
        <v>163</v>
      </c>
      <c r="AL88" s="5"/>
      <c r="AM88" s="5" t="s">
        <v>163</v>
      </c>
      <c r="AN88" s="5"/>
      <c r="AO88" s="5" t="s">
        <v>163</v>
      </c>
      <c r="AP88" s="5"/>
      <c r="AQ88" s="70" t="s">
        <v>163</v>
      </c>
      <c r="AR88" s="5"/>
      <c r="AS88" s="70" t="s">
        <v>163</v>
      </c>
      <c r="AT88" s="5"/>
      <c r="AU88" s="5" t="s">
        <v>163</v>
      </c>
      <c r="AV88" s="5"/>
      <c r="AW88" s="78" t="s">
        <v>76</v>
      </c>
      <c r="AX88" s="5"/>
      <c r="AY88" s="5" t="s">
        <v>163</v>
      </c>
      <c r="AZ88" s="5"/>
      <c r="BA88" s="5" t="s">
        <v>163</v>
      </c>
      <c r="BB88" s="5"/>
      <c r="BC88" s="5" t="s">
        <v>163</v>
      </c>
      <c r="BD88" s="5"/>
      <c r="BE88" s="5" t="s">
        <v>163</v>
      </c>
      <c r="BF88" s="5"/>
      <c r="BG88" s="5" t="s">
        <v>163</v>
      </c>
      <c r="BH88" s="8"/>
    </row>
    <row r="89" spans="1:60" ht="12" hidden="1">
      <c r="A89" s="28" t="s">
        <v>77</v>
      </c>
      <c r="B89" s="5"/>
      <c r="C89" s="5" t="s">
        <v>163</v>
      </c>
      <c r="D89" s="5"/>
      <c r="E89" s="5" t="s">
        <v>163</v>
      </c>
      <c r="F89" s="5"/>
      <c r="G89" s="5" t="s">
        <v>163</v>
      </c>
      <c r="H89" s="5"/>
      <c r="I89" s="5" t="s">
        <v>163</v>
      </c>
      <c r="J89" s="5"/>
      <c r="K89" s="5" t="s">
        <v>163</v>
      </c>
      <c r="L89" s="5"/>
      <c r="M89" s="5" t="s">
        <v>163</v>
      </c>
      <c r="N89" s="5"/>
      <c r="O89" s="5" t="s">
        <v>163</v>
      </c>
      <c r="P89" s="5"/>
      <c r="Q89" s="5" t="s">
        <v>163</v>
      </c>
      <c r="R89" s="5"/>
      <c r="S89" s="5" t="s">
        <v>163</v>
      </c>
      <c r="T89" s="5"/>
      <c r="U89" s="5" t="s">
        <v>163</v>
      </c>
      <c r="V89" s="5"/>
      <c r="W89" s="78" t="s">
        <v>77</v>
      </c>
      <c r="X89" s="5"/>
      <c r="Y89" s="5" t="s">
        <v>163</v>
      </c>
      <c r="Z89" s="5"/>
      <c r="AA89" s="5" t="s">
        <v>163</v>
      </c>
      <c r="AB89" s="5"/>
      <c r="AC89" s="5" t="s">
        <v>163</v>
      </c>
      <c r="AD89" s="5"/>
      <c r="AE89" s="5" t="s">
        <v>163</v>
      </c>
      <c r="AF89" s="5"/>
      <c r="AG89" s="5" t="s">
        <v>163</v>
      </c>
      <c r="AH89" s="5"/>
      <c r="AI89" s="5" t="s">
        <v>163</v>
      </c>
      <c r="AJ89" s="5"/>
      <c r="AK89" s="5" t="s">
        <v>163</v>
      </c>
      <c r="AL89" s="5"/>
      <c r="AM89" s="5" t="s">
        <v>163</v>
      </c>
      <c r="AN89" s="5"/>
      <c r="AO89" s="5" t="s">
        <v>163</v>
      </c>
      <c r="AP89" s="5"/>
      <c r="AQ89" s="70" t="s">
        <v>163</v>
      </c>
      <c r="AR89" s="5"/>
      <c r="AS89" s="70" t="s">
        <v>163</v>
      </c>
      <c r="AT89" s="5"/>
      <c r="AU89" s="5" t="s">
        <v>163</v>
      </c>
      <c r="AV89" s="5"/>
      <c r="AW89" s="78" t="s">
        <v>77</v>
      </c>
      <c r="AX89" s="5"/>
      <c r="AY89" s="5" t="s">
        <v>163</v>
      </c>
      <c r="AZ89" s="5"/>
      <c r="BA89" s="5" t="s">
        <v>163</v>
      </c>
      <c r="BB89" s="5"/>
      <c r="BC89" s="5" t="s">
        <v>163</v>
      </c>
      <c r="BD89" s="5"/>
      <c r="BE89" s="5" t="s">
        <v>163</v>
      </c>
      <c r="BF89" s="5"/>
      <c r="BG89" s="5" t="s">
        <v>163</v>
      </c>
      <c r="BH89" s="8"/>
    </row>
    <row r="90" spans="1:60" ht="12" hidden="1">
      <c r="A90" s="28" t="s">
        <v>78</v>
      </c>
      <c r="B90" s="5"/>
      <c r="C90" s="5" t="s">
        <v>163</v>
      </c>
      <c r="D90" s="5"/>
      <c r="E90" s="5" t="s">
        <v>163</v>
      </c>
      <c r="F90" s="5"/>
      <c r="G90" s="5" t="s">
        <v>163</v>
      </c>
      <c r="H90" s="5"/>
      <c r="I90" s="5" t="s">
        <v>163</v>
      </c>
      <c r="J90" s="5"/>
      <c r="K90" s="5" t="s">
        <v>163</v>
      </c>
      <c r="L90" s="5"/>
      <c r="M90" s="5" t="s">
        <v>163</v>
      </c>
      <c r="N90" s="5"/>
      <c r="O90" s="5" t="s">
        <v>163</v>
      </c>
      <c r="P90" s="5"/>
      <c r="Q90" s="5" t="s">
        <v>163</v>
      </c>
      <c r="R90" s="5"/>
      <c r="S90" s="5" t="s">
        <v>163</v>
      </c>
      <c r="T90" s="5"/>
      <c r="U90" s="5" t="s">
        <v>163</v>
      </c>
      <c r="V90" s="5"/>
      <c r="W90" s="78" t="s">
        <v>78</v>
      </c>
      <c r="X90" s="5"/>
      <c r="Y90" s="5" t="s">
        <v>163</v>
      </c>
      <c r="Z90" s="5"/>
      <c r="AA90" s="5" t="s">
        <v>163</v>
      </c>
      <c r="AB90" s="5"/>
      <c r="AC90" s="5" t="s">
        <v>163</v>
      </c>
      <c r="AD90" s="5"/>
      <c r="AE90" s="5" t="s">
        <v>163</v>
      </c>
      <c r="AF90" s="5"/>
      <c r="AG90" s="5" t="s">
        <v>163</v>
      </c>
      <c r="AH90" s="5"/>
      <c r="AI90" s="5" t="s">
        <v>163</v>
      </c>
      <c r="AJ90" s="5"/>
      <c r="AK90" s="5" t="s">
        <v>163</v>
      </c>
      <c r="AL90" s="5"/>
      <c r="AM90" s="5" t="s">
        <v>163</v>
      </c>
      <c r="AN90" s="5"/>
      <c r="AO90" s="5" t="s">
        <v>163</v>
      </c>
      <c r="AP90" s="5"/>
      <c r="AQ90" s="70" t="s">
        <v>163</v>
      </c>
      <c r="AR90" s="5"/>
      <c r="AS90" s="70" t="s">
        <v>163</v>
      </c>
      <c r="AT90" s="5"/>
      <c r="AU90" s="5" t="s">
        <v>163</v>
      </c>
      <c r="AV90" s="5"/>
      <c r="AW90" s="78" t="s">
        <v>78</v>
      </c>
      <c r="AX90" s="5"/>
      <c r="AY90" s="5" t="s">
        <v>163</v>
      </c>
      <c r="AZ90" s="5"/>
      <c r="BA90" s="5" t="s">
        <v>163</v>
      </c>
      <c r="BB90" s="5"/>
      <c r="BC90" s="5" t="s">
        <v>163</v>
      </c>
      <c r="BD90" s="5"/>
      <c r="BE90" s="5" t="s">
        <v>163</v>
      </c>
      <c r="BF90" s="5"/>
      <c r="BG90" s="5" t="s">
        <v>163</v>
      </c>
      <c r="BH90" s="8"/>
    </row>
    <row r="91" spans="1:60" ht="12" hidden="1">
      <c r="A91" s="28" t="s">
        <v>79</v>
      </c>
      <c r="B91" s="5"/>
      <c r="C91" s="5" t="s">
        <v>163</v>
      </c>
      <c r="D91" s="5"/>
      <c r="E91" s="5" t="s">
        <v>163</v>
      </c>
      <c r="F91" s="5"/>
      <c r="G91" s="5" t="s">
        <v>163</v>
      </c>
      <c r="H91" s="5"/>
      <c r="I91" s="5" t="s">
        <v>163</v>
      </c>
      <c r="J91" s="5"/>
      <c r="K91" s="5" t="s">
        <v>163</v>
      </c>
      <c r="L91" s="5"/>
      <c r="M91" s="5" t="s">
        <v>163</v>
      </c>
      <c r="N91" s="5"/>
      <c r="O91" s="5" t="s">
        <v>163</v>
      </c>
      <c r="P91" s="5"/>
      <c r="Q91" s="5" t="s">
        <v>163</v>
      </c>
      <c r="R91" s="5"/>
      <c r="S91" s="5" t="s">
        <v>163</v>
      </c>
      <c r="T91" s="5"/>
      <c r="U91" s="5" t="s">
        <v>163</v>
      </c>
      <c r="V91" s="5"/>
      <c r="W91" s="78" t="s">
        <v>79</v>
      </c>
      <c r="X91" s="5"/>
      <c r="Y91" s="5" t="s">
        <v>163</v>
      </c>
      <c r="Z91" s="5"/>
      <c r="AA91" s="5" t="s">
        <v>163</v>
      </c>
      <c r="AB91" s="5"/>
      <c r="AC91" s="5" t="s">
        <v>163</v>
      </c>
      <c r="AD91" s="5"/>
      <c r="AE91" s="5" t="s">
        <v>163</v>
      </c>
      <c r="AF91" s="5"/>
      <c r="AG91" s="5" t="s">
        <v>163</v>
      </c>
      <c r="AH91" s="5"/>
      <c r="AI91" s="5" t="s">
        <v>163</v>
      </c>
      <c r="AJ91" s="5"/>
      <c r="AK91" s="5" t="s">
        <v>163</v>
      </c>
      <c r="AL91" s="5"/>
      <c r="AM91" s="5" t="s">
        <v>163</v>
      </c>
      <c r="AN91" s="5"/>
      <c r="AO91" s="5" t="s">
        <v>163</v>
      </c>
      <c r="AP91" s="5"/>
      <c r="AQ91" s="70" t="s">
        <v>163</v>
      </c>
      <c r="AR91" s="5"/>
      <c r="AS91" s="70" t="s">
        <v>163</v>
      </c>
      <c r="AT91" s="5"/>
      <c r="AU91" s="5" t="s">
        <v>163</v>
      </c>
      <c r="AV91" s="5"/>
      <c r="AW91" s="78" t="s">
        <v>79</v>
      </c>
      <c r="AX91" s="5"/>
      <c r="AY91" s="5" t="s">
        <v>163</v>
      </c>
      <c r="AZ91" s="5"/>
      <c r="BA91" s="5" t="s">
        <v>163</v>
      </c>
      <c r="BB91" s="5"/>
      <c r="BC91" s="5" t="s">
        <v>163</v>
      </c>
      <c r="BD91" s="5"/>
      <c r="BE91" s="5" t="s">
        <v>163</v>
      </c>
      <c r="BF91" s="5"/>
      <c r="BG91" s="5" t="s">
        <v>163</v>
      </c>
      <c r="BH91" s="8"/>
    </row>
    <row r="92" spans="1:60" ht="12" hidden="1">
      <c r="A92" s="28" t="s">
        <v>80</v>
      </c>
      <c r="B92" s="5"/>
      <c r="C92" s="5" t="s">
        <v>163</v>
      </c>
      <c r="D92" s="5"/>
      <c r="E92" s="5" t="s">
        <v>163</v>
      </c>
      <c r="F92" s="5"/>
      <c r="G92" s="5" t="s">
        <v>163</v>
      </c>
      <c r="H92" s="5"/>
      <c r="I92" s="5" t="s">
        <v>163</v>
      </c>
      <c r="J92" s="5"/>
      <c r="K92" s="5" t="s">
        <v>163</v>
      </c>
      <c r="L92" s="5"/>
      <c r="M92" s="5" t="s">
        <v>163</v>
      </c>
      <c r="N92" s="5"/>
      <c r="O92" s="5" t="s">
        <v>163</v>
      </c>
      <c r="P92" s="5"/>
      <c r="Q92" s="5" t="s">
        <v>163</v>
      </c>
      <c r="R92" s="5"/>
      <c r="S92" s="5" t="s">
        <v>163</v>
      </c>
      <c r="T92" s="5"/>
      <c r="U92" s="5" t="s">
        <v>163</v>
      </c>
      <c r="V92" s="5"/>
      <c r="W92" s="78" t="s">
        <v>80</v>
      </c>
      <c r="X92" s="5"/>
      <c r="Y92" s="5" t="s">
        <v>163</v>
      </c>
      <c r="Z92" s="5"/>
      <c r="AA92" s="5" t="s">
        <v>163</v>
      </c>
      <c r="AB92" s="5"/>
      <c r="AC92" s="5" t="s">
        <v>163</v>
      </c>
      <c r="AD92" s="5"/>
      <c r="AE92" s="5" t="s">
        <v>163</v>
      </c>
      <c r="AF92" s="5"/>
      <c r="AG92" s="5" t="s">
        <v>163</v>
      </c>
      <c r="AH92" s="5"/>
      <c r="AI92" s="5" t="s">
        <v>163</v>
      </c>
      <c r="AJ92" s="5"/>
      <c r="AK92" s="5" t="s">
        <v>163</v>
      </c>
      <c r="AL92" s="5"/>
      <c r="AM92" s="5" t="s">
        <v>163</v>
      </c>
      <c r="AN92" s="5"/>
      <c r="AO92" s="5" t="s">
        <v>163</v>
      </c>
      <c r="AP92" s="5"/>
      <c r="AQ92" s="70" t="s">
        <v>163</v>
      </c>
      <c r="AR92" s="5"/>
      <c r="AS92" s="70" t="s">
        <v>163</v>
      </c>
      <c r="AT92" s="5"/>
      <c r="AU92" s="5" t="s">
        <v>163</v>
      </c>
      <c r="AV92" s="5"/>
      <c r="AW92" s="78" t="s">
        <v>80</v>
      </c>
      <c r="AX92" s="5"/>
      <c r="AY92" s="5" t="s">
        <v>163</v>
      </c>
      <c r="AZ92" s="5"/>
      <c r="BA92" s="5" t="s">
        <v>163</v>
      </c>
      <c r="BB92" s="5"/>
      <c r="BC92" s="5" t="s">
        <v>163</v>
      </c>
      <c r="BD92" s="5"/>
      <c r="BE92" s="5" t="s">
        <v>163</v>
      </c>
      <c r="BF92" s="5"/>
      <c r="BG92" s="5" t="s">
        <v>163</v>
      </c>
      <c r="BH92" s="8"/>
    </row>
    <row r="93" spans="1:60" ht="12" hidden="1">
      <c r="A93" s="28" t="s">
        <v>81</v>
      </c>
      <c r="B93" s="5"/>
      <c r="C93" s="5" t="s">
        <v>163</v>
      </c>
      <c r="D93" s="5"/>
      <c r="E93" s="5" t="s">
        <v>163</v>
      </c>
      <c r="F93" s="5"/>
      <c r="G93" s="5" t="s">
        <v>163</v>
      </c>
      <c r="H93" s="5"/>
      <c r="I93" s="5" t="s">
        <v>163</v>
      </c>
      <c r="J93" s="5"/>
      <c r="K93" s="5" t="s">
        <v>163</v>
      </c>
      <c r="L93" s="5"/>
      <c r="M93" s="5" t="s">
        <v>163</v>
      </c>
      <c r="N93" s="5"/>
      <c r="O93" s="5" t="s">
        <v>163</v>
      </c>
      <c r="P93" s="5"/>
      <c r="Q93" s="5" t="s">
        <v>163</v>
      </c>
      <c r="R93" s="5"/>
      <c r="S93" s="5" t="s">
        <v>163</v>
      </c>
      <c r="T93" s="5"/>
      <c r="U93" s="5" t="s">
        <v>163</v>
      </c>
      <c r="V93" s="5"/>
      <c r="W93" s="78" t="s">
        <v>81</v>
      </c>
      <c r="X93" s="5"/>
      <c r="Y93" s="5" t="s">
        <v>163</v>
      </c>
      <c r="Z93" s="5"/>
      <c r="AA93" s="5" t="s">
        <v>163</v>
      </c>
      <c r="AB93" s="5"/>
      <c r="AC93" s="5" t="s">
        <v>163</v>
      </c>
      <c r="AD93" s="5"/>
      <c r="AE93" s="5" t="s">
        <v>163</v>
      </c>
      <c r="AF93" s="5"/>
      <c r="AG93" s="5" t="s">
        <v>163</v>
      </c>
      <c r="AH93" s="5"/>
      <c r="AI93" s="5" t="s">
        <v>163</v>
      </c>
      <c r="AJ93" s="5"/>
      <c r="AK93" s="5" t="s">
        <v>163</v>
      </c>
      <c r="AL93" s="5"/>
      <c r="AM93" s="5" t="s">
        <v>163</v>
      </c>
      <c r="AN93" s="5"/>
      <c r="AO93" s="5" t="s">
        <v>163</v>
      </c>
      <c r="AP93" s="5"/>
      <c r="AQ93" s="70" t="s">
        <v>163</v>
      </c>
      <c r="AR93" s="5"/>
      <c r="AS93" s="70" t="s">
        <v>163</v>
      </c>
      <c r="AT93" s="5"/>
      <c r="AU93" s="5" t="s">
        <v>163</v>
      </c>
      <c r="AV93" s="5"/>
      <c r="AW93" s="78" t="s">
        <v>81</v>
      </c>
      <c r="AX93" s="5"/>
      <c r="AY93" s="5" t="s">
        <v>163</v>
      </c>
      <c r="AZ93" s="5"/>
      <c r="BA93" s="5" t="s">
        <v>163</v>
      </c>
      <c r="BB93" s="5"/>
      <c r="BC93" s="5" t="s">
        <v>163</v>
      </c>
      <c r="BD93" s="5"/>
      <c r="BE93" s="5" t="s">
        <v>163</v>
      </c>
      <c r="BF93" s="5"/>
      <c r="BG93" s="5" t="s">
        <v>163</v>
      </c>
      <c r="BH93" s="8"/>
    </row>
    <row r="94" spans="1:60" ht="12" hidden="1">
      <c r="A94" s="28" t="s">
        <v>82</v>
      </c>
      <c r="B94" s="5"/>
      <c r="C94" s="5" t="s">
        <v>163</v>
      </c>
      <c r="D94" s="5"/>
      <c r="E94" s="5" t="s">
        <v>163</v>
      </c>
      <c r="F94" s="5"/>
      <c r="G94" s="5" t="s">
        <v>163</v>
      </c>
      <c r="H94" s="5"/>
      <c r="I94" s="5" t="s">
        <v>163</v>
      </c>
      <c r="J94" s="5"/>
      <c r="K94" s="5" t="s">
        <v>163</v>
      </c>
      <c r="L94" s="5"/>
      <c r="M94" s="5" t="s">
        <v>163</v>
      </c>
      <c r="N94" s="5"/>
      <c r="O94" s="5" t="s">
        <v>163</v>
      </c>
      <c r="P94" s="5"/>
      <c r="Q94" s="5" t="s">
        <v>163</v>
      </c>
      <c r="R94" s="5"/>
      <c r="S94" s="5" t="s">
        <v>163</v>
      </c>
      <c r="T94" s="5"/>
      <c r="U94" s="5" t="s">
        <v>163</v>
      </c>
      <c r="V94" s="5"/>
      <c r="W94" s="78" t="s">
        <v>82</v>
      </c>
      <c r="X94" s="5"/>
      <c r="Y94" s="5" t="s">
        <v>163</v>
      </c>
      <c r="Z94" s="5"/>
      <c r="AA94" s="5" t="s">
        <v>163</v>
      </c>
      <c r="AB94" s="5"/>
      <c r="AC94" s="5" t="s">
        <v>163</v>
      </c>
      <c r="AD94" s="5"/>
      <c r="AE94" s="5" t="s">
        <v>163</v>
      </c>
      <c r="AF94" s="5"/>
      <c r="AG94" s="5" t="s">
        <v>163</v>
      </c>
      <c r="AH94" s="5"/>
      <c r="AI94" s="5" t="s">
        <v>163</v>
      </c>
      <c r="AJ94" s="5"/>
      <c r="AK94" s="5" t="s">
        <v>163</v>
      </c>
      <c r="AL94" s="5"/>
      <c r="AM94" s="5" t="s">
        <v>163</v>
      </c>
      <c r="AN94" s="5"/>
      <c r="AO94" s="5" t="s">
        <v>163</v>
      </c>
      <c r="AP94" s="5"/>
      <c r="AQ94" s="70" t="s">
        <v>163</v>
      </c>
      <c r="AR94" s="5"/>
      <c r="AS94" s="70" t="s">
        <v>163</v>
      </c>
      <c r="AT94" s="5"/>
      <c r="AU94" s="5" t="s">
        <v>163</v>
      </c>
      <c r="AV94" s="5"/>
      <c r="AW94" s="78" t="s">
        <v>82</v>
      </c>
      <c r="AX94" s="5"/>
      <c r="AY94" s="5" t="s">
        <v>163</v>
      </c>
      <c r="AZ94" s="5"/>
      <c r="BA94" s="5" t="s">
        <v>163</v>
      </c>
      <c r="BB94" s="5"/>
      <c r="BC94" s="5" t="s">
        <v>163</v>
      </c>
      <c r="BD94" s="5"/>
      <c r="BE94" s="5" t="s">
        <v>163</v>
      </c>
      <c r="BF94" s="5"/>
      <c r="BG94" s="5" t="s">
        <v>163</v>
      </c>
      <c r="BH94" s="8"/>
    </row>
    <row r="95" spans="1:60" ht="12" hidden="1">
      <c r="A95" s="28" t="s">
        <v>83</v>
      </c>
      <c r="B95" s="5"/>
      <c r="C95" s="5" t="s">
        <v>163</v>
      </c>
      <c r="D95" s="5"/>
      <c r="E95" s="5" t="s">
        <v>163</v>
      </c>
      <c r="F95" s="5"/>
      <c r="G95" s="5" t="s">
        <v>163</v>
      </c>
      <c r="H95" s="5"/>
      <c r="I95" s="5" t="s">
        <v>163</v>
      </c>
      <c r="J95" s="5"/>
      <c r="K95" s="5" t="s">
        <v>163</v>
      </c>
      <c r="L95" s="5"/>
      <c r="M95" s="5" t="s">
        <v>163</v>
      </c>
      <c r="N95" s="5"/>
      <c r="O95" s="5" t="s">
        <v>163</v>
      </c>
      <c r="P95" s="5"/>
      <c r="Q95" s="5" t="s">
        <v>163</v>
      </c>
      <c r="R95" s="5"/>
      <c r="S95" s="5" t="s">
        <v>163</v>
      </c>
      <c r="T95" s="5"/>
      <c r="U95" s="5" t="s">
        <v>163</v>
      </c>
      <c r="V95" s="5"/>
      <c r="W95" s="78" t="s">
        <v>83</v>
      </c>
      <c r="X95" s="5"/>
      <c r="Y95" s="5" t="s">
        <v>163</v>
      </c>
      <c r="Z95" s="5"/>
      <c r="AA95" s="5" t="s">
        <v>163</v>
      </c>
      <c r="AB95" s="5"/>
      <c r="AC95" s="5" t="s">
        <v>163</v>
      </c>
      <c r="AD95" s="5"/>
      <c r="AE95" s="5" t="s">
        <v>163</v>
      </c>
      <c r="AF95" s="5"/>
      <c r="AG95" s="5" t="s">
        <v>163</v>
      </c>
      <c r="AH95" s="5"/>
      <c r="AI95" s="5" t="s">
        <v>163</v>
      </c>
      <c r="AJ95" s="5"/>
      <c r="AK95" s="5" t="s">
        <v>163</v>
      </c>
      <c r="AL95" s="5"/>
      <c r="AM95" s="5" t="s">
        <v>163</v>
      </c>
      <c r="AN95" s="5"/>
      <c r="AO95" s="5" t="s">
        <v>163</v>
      </c>
      <c r="AP95" s="5"/>
      <c r="AQ95" s="70" t="s">
        <v>163</v>
      </c>
      <c r="AR95" s="5"/>
      <c r="AS95" s="70" t="s">
        <v>163</v>
      </c>
      <c r="AT95" s="5"/>
      <c r="AU95" s="5" t="s">
        <v>163</v>
      </c>
      <c r="AV95" s="5"/>
      <c r="AW95" s="78" t="s">
        <v>83</v>
      </c>
      <c r="AX95" s="5"/>
      <c r="AY95" s="5" t="s">
        <v>163</v>
      </c>
      <c r="AZ95" s="5"/>
      <c r="BA95" s="5" t="s">
        <v>163</v>
      </c>
      <c r="BB95" s="5"/>
      <c r="BC95" s="5" t="s">
        <v>163</v>
      </c>
      <c r="BD95" s="5"/>
      <c r="BE95" s="5" t="s">
        <v>163</v>
      </c>
      <c r="BF95" s="5"/>
      <c r="BG95" s="5" t="s">
        <v>163</v>
      </c>
      <c r="BH95" s="8"/>
    </row>
    <row r="96" spans="1:60" ht="12" hidden="1">
      <c r="A96" s="28" t="s">
        <v>84</v>
      </c>
      <c r="B96" s="5"/>
      <c r="C96" s="5" t="s">
        <v>163</v>
      </c>
      <c r="D96" s="5"/>
      <c r="E96" s="5" t="s">
        <v>163</v>
      </c>
      <c r="F96" s="5"/>
      <c r="G96" s="5" t="s">
        <v>163</v>
      </c>
      <c r="H96" s="5"/>
      <c r="I96" s="5" t="s">
        <v>163</v>
      </c>
      <c r="J96" s="5"/>
      <c r="K96" s="5" t="s">
        <v>163</v>
      </c>
      <c r="L96" s="5"/>
      <c r="M96" s="5" t="s">
        <v>163</v>
      </c>
      <c r="N96" s="5"/>
      <c r="O96" s="5" t="s">
        <v>163</v>
      </c>
      <c r="P96" s="5"/>
      <c r="Q96" s="5" t="s">
        <v>163</v>
      </c>
      <c r="R96" s="5"/>
      <c r="S96" s="5" t="s">
        <v>163</v>
      </c>
      <c r="T96" s="5"/>
      <c r="U96" s="5" t="s">
        <v>163</v>
      </c>
      <c r="V96" s="5"/>
      <c r="W96" s="78" t="s">
        <v>84</v>
      </c>
      <c r="X96" s="5"/>
      <c r="Y96" s="5" t="s">
        <v>163</v>
      </c>
      <c r="Z96" s="5"/>
      <c r="AA96" s="5" t="s">
        <v>163</v>
      </c>
      <c r="AB96" s="5"/>
      <c r="AC96" s="5" t="s">
        <v>163</v>
      </c>
      <c r="AD96" s="5"/>
      <c r="AE96" s="5" t="s">
        <v>163</v>
      </c>
      <c r="AF96" s="5"/>
      <c r="AG96" s="5" t="s">
        <v>163</v>
      </c>
      <c r="AH96" s="5"/>
      <c r="AI96" s="5" t="s">
        <v>163</v>
      </c>
      <c r="AJ96" s="5"/>
      <c r="AK96" s="5" t="s">
        <v>163</v>
      </c>
      <c r="AL96" s="5"/>
      <c r="AM96" s="5" t="s">
        <v>163</v>
      </c>
      <c r="AN96" s="5"/>
      <c r="AO96" s="5" t="s">
        <v>163</v>
      </c>
      <c r="AP96" s="5"/>
      <c r="AQ96" s="70" t="s">
        <v>163</v>
      </c>
      <c r="AR96" s="5"/>
      <c r="AS96" s="70" t="s">
        <v>163</v>
      </c>
      <c r="AT96" s="5"/>
      <c r="AU96" s="5" t="s">
        <v>163</v>
      </c>
      <c r="AV96" s="5"/>
      <c r="AW96" s="78" t="s">
        <v>84</v>
      </c>
      <c r="AX96" s="5"/>
      <c r="AY96" s="5" t="s">
        <v>163</v>
      </c>
      <c r="AZ96" s="5"/>
      <c r="BA96" s="5" t="s">
        <v>163</v>
      </c>
      <c r="BB96" s="5"/>
      <c r="BC96" s="5" t="s">
        <v>163</v>
      </c>
      <c r="BD96" s="5"/>
      <c r="BE96" s="5" t="s">
        <v>163</v>
      </c>
      <c r="BF96" s="5"/>
      <c r="BG96" s="5" t="s">
        <v>163</v>
      </c>
      <c r="BH96" s="8"/>
    </row>
    <row r="97" spans="1:60" ht="12" hidden="1">
      <c r="A97" s="28" t="s">
        <v>141</v>
      </c>
      <c r="B97" s="5"/>
      <c r="C97" s="5" t="s">
        <v>163</v>
      </c>
      <c r="D97" s="5"/>
      <c r="E97" s="5" t="s">
        <v>163</v>
      </c>
      <c r="F97" s="5"/>
      <c r="G97" s="5" t="s">
        <v>163</v>
      </c>
      <c r="H97" s="5"/>
      <c r="I97" s="5" t="s">
        <v>163</v>
      </c>
      <c r="J97" s="5"/>
      <c r="K97" s="5" t="s">
        <v>163</v>
      </c>
      <c r="L97" s="5"/>
      <c r="M97" s="5" t="s">
        <v>163</v>
      </c>
      <c r="N97" s="5"/>
      <c r="O97" s="5" t="s">
        <v>163</v>
      </c>
      <c r="P97" s="5"/>
      <c r="Q97" s="5" t="s">
        <v>163</v>
      </c>
      <c r="R97" s="5"/>
      <c r="S97" s="5" t="s">
        <v>163</v>
      </c>
      <c r="T97" s="5"/>
      <c r="U97" s="5" t="s">
        <v>163</v>
      </c>
      <c r="V97" s="5"/>
      <c r="W97" s="78" t="s">
        <v>141</v>
      </c>
      <c r="X97" s="5"/>
      <c r="Y97" s="5" t="s">
        <v>163</v>
      </c>
      <c r="Z97" s="5"/>
      <c r="AA97" s="5" t="s">
        <v>163</v>
      </c>
      <c r="AB97" s="5"/>
      <c r="AC97" s="5" t="s">
        <v>163</v>
      </c>
      <c r="AD97" s="5"/>
      <c r="AE97" s="5" t="s">
        <v>163</v>
      </c>
      <c r="AF97" s="5"/>
      <c r="AG97" s="5" t="s">
        <v>163</v>
      </c>
      <c r="AH97" s="5"/>
      <c r="AI97" s="5" t="s">
        <v>163</v>
      </c>
      <c r="AJ97" s="5"/>
      <c r="AK97" s="5" t="s">
        <v>163</v>
      </c>
      <c r="AL97" s="5"/>
      <c r="AM97" s="5" t="s">
        <v>163</v>
      </c>
      <c r="AN97" s="5"/>
      <c r="AO97" s="5" t="s">
        <v>163</v>
      </c>
      <c r="AP97" s="5"/>
      <c r="AQ97" s="70" t="s">
        <v>163</v>
      </c>
      <c r="AR97" s="5"/>
      <c r="AS97" s="70" t="s">
        <v>163</v>
      </c>
      <c r="AT97" s="5"/>
      <c r="AU97" s="5" t="s">
        <v>163</v>
      </c>
      <c r="AV97" s="5"/>
      <c r="AW97" s="78" t="s">
        <v>141</v>
      </c>
      <c r="AX97" s="5"/>
      <c r="AY97" s="5" t="s">
        <v>163</v>
      </c>
      <c r="AZ97" s="5"/>
      <c r="BA97" s="5" t="s">
        <v>163</v>
      </c>
      <c r="BB97" s="5"/>
      <c r="BC97" s="5" t="s">
        <v>163</v>
      </c>
      <c r="BD97" s="5"/>
      <c r="BE97" s="5" t="s">
        <v>163</v>
      </c>
      <c r="BF97" s="5"/>
      <c r="BG97" s="5" t="s">
        <v>163</v>
      </c>
      <c r="BH97" s="8"/>
    </row>
    <row r="98" spans="1:60" ht="12" hidden="1">
      <c r="A98" s="28" t="s">
        <v>184</v>
      </c>
      <c r="B98" s="5"/>
      <c r="C98" s="5" t="s">
        <v>163</v>
      </c>
      <c r="D98" s="5"/>
      <c r="E98" s="5" t="s">
        <v>163</v>
      </c>
      <c r="F98" s="5"/>
      <c r="G98" s="5" t="s">
        <v>163</v>
      </c>
      <c r="H98" s="5"/>
      <c r="I98" s="5" t="s">
        <v>163</v>
      </c>
      <c r="J98" s="5"/>
      <c r="K98" s="5" t="s">
        <v>163</v>
      </c>
      <c r="L98" s="5"/>
      <c r="M98" s="5" t="s">
        <v>163</v>
      </c>
      <c r="N98" s="5"/>
      <c r="O98" s="5" t="s">
        <v>163</v>
      </c>
      <c r="P98" s="5"/>
      <c r="Q98" s="5" t="s">
        <v>163</v>
      </c>
      <c r="R98" s="5"/>
      <c r="S98" s="5" t="s">
        <v>163</v>
      </c>
      <c r="T98" s="5"/>
      <c r="U98" s="5" t="s">
        <v>163</v>
      </c>
      <c r="V98" s="5"/>
      <c r="W98" s="78" t="s">
        <v>184</v>
      </c>
      <c r="X98" s="5"/>
      <c r="Y98" s="5" t="s">
        <v>163</v>
      </c>
      <c r="Z98" s="5"/>
      <c r="AA98" s="5" t="s">
        <v>163</v>
      </c>
      <c r="AB98" s="5"/>
      <c r="AC98" s="5" t="s">
        <v>163</v>
      </c>
      <c r="AD98" s="5"/>
      <c r="AE98" s="5" t="s">
        <v>163</v>
      </c>
      <c r="AF98" s="5"/>
      <c r="AG98" s="5" t="s">
        <v>163</v>
      </c>
      <c r="AH98" s="5"/>
      <c r="AI98" s="5" t="s">
        <v>163</v>
      </c>
      <c r="AJ98" s="5"/>
      <c r="AK98" s="5" t="s">
        <v>163</v>
      </c>
      <c r="AL98" s="5"/>
      <c r="AM98" s="5" t="s">
        <v>163</v>
      </c>
      <c r="AN98" s="5"/>
      <c r="AO98" s="5" t="s">
        <v>163</v>
      </c>
      <c r="AP98" s="5"/>
      <c r="AQ98" s="70" t="s">
        <v>163</v>
      </c>
      <c r="AR98" s="5"/>
      <c r="AS98" s="70" t="s">
        <v>163</v>
      </c>
      <c r="AT98" s="5"/>
      <c r="AU98" s="5" t="s">
        <v>163</v>
      </c>
      <c r="AV98" s="5"/>
      <c r="AW98" s="78" t="s">
        <v>184</v>
      </c>
      <c r="AX98" s="5"/>
      <c r="AY98" s="5" t="s">
        <v>163</v>
      </c>
      <c r="AZ98" s="5"/>
      <c r="BA98" s="5" t="s">
        <v>163</v>
      </c>
      <c r="BB98" s="5"/>
      <c r="BC98" s="5" t="s">
        <v>163</v>
      </c>
      <c r="BD98" s="5"/>
      <c r="BE98" s="5" t="s">
        <v>163</v>
      </c>
      <c r="BF98" s="5"/>
      <c r="BG98" s="5" t="s">
        <v>163</v>
      </c>
      <c r="BH98" s="8"/>
    </row>
    <row r="99" spans="1:60" ht="12">
      <c r="A99" s="28" t="s">
        <v>86</v>
      </c>
      <c r="B99" s="5"/>
      <c r="C99" s="37">
        <f>G99-E99</f>
        <v>1713402</v>
      </c>
      <c r="D99" s="37"/>
      <c r="E99" s="37">
        <v>2153055</v>
      </c>
      <c r="F99" s="37"/>
      <c r="G99" s="37">
        <v>3866457</v>
      </c>
      <c r="H99" s="37"/>
      <c r="I99" s="37">
        <f>M99-K99</f>
        <v>447851</v>
      </c>
      <c r="J99" s="37"/>
      <c r="K99" s="37">
        <f>SUM(BG99)</f>
        <v>6986449</v>
      </c>
      <c r="L99" s="37"/>
      <c r="M99" s="37">
        <v>7434300</v>
      </c>
      <c r="N99" s="37"/>
      <c r="O99" s="37">
        <v>-209454</v>
      </c>
      <c r="P99" s="37"/>
      <c r="Q99" s="37">
        <v>0</v>
      </c>
      <c r="R99" s="37"/>
      <c r="S99" s="37">
        <v>-3358389</v>
      </c>
      <c r="T99" s="37"/>
      <c r="U99" s="37">
        <f>SUM(O99:S99)</f>
        <v>-3567843</v>
      </c>
      <c r="V99" s="37"/>
      <c r="W99" s="78" t="s">
        <v>86</v>
      </c>
      <c r="X99" s="37"/>
      <c r="Y99" s="34">
        <v>1528714</v>
      </c>
      <c r="Z99" s="34"/>
      <c r="AA99" s="34">
        <f>2608993-260666</f>
        <v>2348327</v>
      </c>
      <c r="AB99" s="34"/>
      <c r="AC99" s="34">
        <v>260666</v>
      </c>
      <c r="AD99" s="34"/>
      <c r="AE99" s="38">
        <f>+Y99-AA99-AC99</f>
        <v>-1080279</v>
      </c>
      <c r="AF99" s="38"/>
      <c r="AG99" s="38">
        <v>-144007</v>
      </c>
      <c r="AH99" s="38"/>
      <c r="AI99" s="34">
        <v>264718</v>
      </c>
      <c r="AJ99" s="34"/>
      <c r="AK99" s="34">
        <v>0</v>
      </c>
      <c r="AL99" s="34"/>
      <c r="AM99" s="34">
        <v>0</v>
      </c>
      <c r="AN99" s="34"/>
      <c r="AO99" s="38">
        <f>+AE99+AG99+AI99-AK99+AM99</f>
        <v>-959568</v>
      </c>
      <c r="AP99" s="38"/>
      <c r="AQ99" s="70" t="s">
        <v>163</v>
      </c>
      <c r="AR99" s="34"/>
      <c r="AS99" s="70" t="s">
        <v>163</v>
      </c>
      <c r="AT99" s="34"/>
      <c r="AU99" s="34">
        <f>+C99-I99</f>
        <v>1265551</v>
      </c>
      <c r="AV99" s="34"/>
      <c r="AW99" s="78" t="s">
        <v>86</v>
      </c>
      <c r="AX99" s="34"/>
      <c r="AY99" s="34">
        <v>1518619</v>
      </c>
      <c r="AZ99" s="34"/>
      <c r="BA99" s="34">
        <v>0</v>
      </c>
      <c r="BB99" s="34"/>
      <c r="BC99" s="34">
        <v>0</v>
      </c>
      <c r="BD99" s="34"/>
      <c r="BE99" s="34">
        <f>1438+4954076+512316</f>
        <v>5467830</v>
      </c>
      <c r="BF99" s="34"/>
      <c r="BG99" s="34">
        <f>SUM(AY99:BE99)</f>
        <v>6986449</v>
      </c>
      <c r="BH99" s="8"/>
    </row>
    <row r="100" spans="1:60" ht="12" hidden="1">
      <c r="A100" s="28" t="s">
        <v>185</v>
      </c>
      <c r="B100" s="5"/>
      <c r="C100" s="5" t="s">
        <v>163</v>
      </c>
      <c r="D100" s="5"/>
      <c r="E100" s="5" t="s">
        <v>163</v>
      </c>
      <c r="F100" s="5"/>
      <c r="G100" s="5" t="s">
        <v>163</v>
      </c>
      <c r="H100" s="5"/>
      <c r="I100" s="5" t="s">
        <v>163</v>
      </c>
      <c r="J100" s="5"/>
      <c r="K100" s="5" t="s">
        <v>163</v>
      </c>
      <c r="L100" s="5"/>
      <c r="M100" s="5" t="s">
        <v>163</v>
      </c>
      <c r="N100" s="5"/>
      <c r="O100" s="5" t="s">
        <v>163</v>
      </c>
      <c r="P100" s="5"/>
      <c r="Q100" s="5" t="s">
        <v>163</v>
      </c>
      <c r="R100" s="5"/>
      <c r="S100" s="5" t="s">
        <v>163</v>
      </c>
      <c r="T100" s="5"/>
      <c r="U100" s="5" t="s">
        <v>163</v>
      </c>
      <c r="V100" s="5"/>
      <c r="W100" s="78" t="s">
        <v>185</v>
      </c>
      <c r="X100" s="5"/>
      <c r="Y100" s="5" t="s">
        <v>163</v>
      </c>
      <c r="Z100" s="5"/>
      <c r="AA100" s="5" t="s">
        <v>163</v>
      </c>
      <c r="AB100" s="5"/>
      <c r="AC100" s="5" t="s">
        <v>163</v>
      </c>
      <c r="AD100" s="5"/>
      <c r="AE100" s="5" t="s">
        <v>163</v>
      </c>
      <c r="AF100" s="5"/>
      <c r="AG100" s="5" t="s">
        <v>163</v>
      </c>
      <c r="AH100" s="5"/>
      <c r="AI100" s="5" t="s">
        <v>163</v>
      </c>
      <c r="AJ100" s="5"/>
      <c r="AK100" s="5" t="s">
        <v>163</v>
      </c>
      <c r="AL100" s="5"/>
      <c r="AM100" s="5" t="s">
        <v>163</v>
      </c>
      <c r="AN100" s="5"/>
      <c r="AO100" s="5" t="s">
        <v>163</v>
      </c>
      <c r="AP100" s="5"/>
      <c r="AQ100" s="5" t="s">
        <v>163</v>
      </c>
      <c r="AR100" s="5"/>
      <c r="AS100" s="5" t="s">
        <v>163</v>
      </c>
      <c r="AT100" s="5"/>
      <c r="AU100" s="5" t="s">
        <v>163</v>
      </c>
      <c r="AV100" s="5"/>
      <c r="AW100" s="78" t="s">
        <v>185</v>
      </c>
      <c r="AX100" s="5"/>
      <c r="AY100" s="5" t="s">
        <v>163</v>
      </c>
      <c r="AZ100" s="5"/>
      <c r="BA100" s="5" t="s">
        <v>163</v>
      </c>
      <c r="BB100" s="5"/>
      <c r="BC100" s="5" t="s">
        <v>163</v>
      </c>
      <c r="BD100" s="5"/>
      <c r="BE100" s="5" t="s">
        <v>163</v>
      </c>
      <c r="BF100" s="5"/>
      <c r="BG100" s="5" t="s">
        <v>163</v>
      </c>
      <c r="BH100" s="8"/>
    </row>
    <row r="101" spans="2:60" ht="12">
      <c r="B101" s="20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38"/>
      <c r="AB101" s="38"/>
      <c r="AC101" s="38"/>
      <c r="AD101" s="38"/>
      <c r="AE101" s="70"/>
      <c r="AF101" s="70"/>
      <c r="AG101" s="70"/>
      <c r="AH101" s="70"/>
      <c r="AI101" s="70"/>
      <c r="AJ101" s="70"/>
      <c r="AK101" s="70"/>
      <c r="AL101" s="70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78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8"/>
    </row>
    <row r="102" spans="2:60" ht="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X102" s="20"/>
      <c r="Y102" s="20"/>
      <c r="Z102" s="20"/>
      <c r="AA102" s="10"/>
      <c r="AB102" s="10"/>
      <c r="AC102" s="10"/>
      <c r="AD102" s="10"/>
      <c r="AE102" s="14"/>
      <c r="AF102" s="14"/>
      <c r="AG102" s="14"/>
      <c r="AH102" s="14"/>
      <c r="AI102" s="14"/>
      <c r="AJ102" s="14"/>
      <c r="AK102" s="14"/>
      <c r="AL102" s="14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2:60" ht="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X103" s="20"/>
      <c r="Y103" s="20"/>
      <c r="Z103" s="20"/>
      <c r="AA103" s="10"/>
      <c r="AB103" s="10"/>
      <c r="AC103" s="10"/>
      <c r="AD103" s="10"/>
      <c r="AE103" s="14"/>
      <c r="AF103" s="14"/>
      <c r="AG103" s="14"/>
      <c r="AH103" s="14"/>
      <c r="AI103" s="14"/>
      <c r="AJ103" s="14"/>
      <c r="AK103" s="14"/>
      <c r="AL103" s="14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2:60" ht="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20"/>
      <c r="Y104" s="20"/>
      <c r="Z104" s="20"/>
      <c r="AA104" s="10"/>
      <c r="AB104" s="10"/>
      <c r="AC104" s="10"/>
      <c r="AD104" s="10"/>
      <c r="AE104" s="14"/>
      <c r="AF104" s="14"/>
      <c r="AG104" s="14"/>
      <c r="AH104" s="14"/>
      <c r="AI104" s="14"/>
      <c r="AJ104" s="14"/>
      <c r="AK104" s="14"/>
      <c r="AL104" s="14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2:60" ht="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0"/>
      <c r="AB105" s="10"/>
      <c r="AC105" s="10"/>
      <c r="AD105" s="10"/>
      <c r="AE105" s="14"/>
      <c r="AF105" s="14"/>
      <c r="AG105" s="14"/>
      <c r="AH105" s="14"/>
      <c r="AI105" s="14"/>
      <c r="AJ105" s="14"/>
      <c r="AK105" s="14"/>
      <c r="AL105" s="14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20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2:60" ht="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0"/>
      <c r="AB106" s="10"/>
      <c r="AC106" s="10"/>
      <c r="AD106" s="10"/>
      <c r="AE106" s="14"/>
      <c r="AF106" s="14"/>
      <c r="AG106" s="14"/>
      <c r="AH106" s="14"/>
      <c r="AI106" s="14"/>
      <c r="AJ106" s="14"/>
      <c r="AK106" s="14"/>
      <c r="AL106" s="14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2:60" ht="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0"/>
      <c r="AB107" s="10"/>
      <c r="AC107" s="10"/>
      <c r="AD107" s="10"/>
      <c r="AE107" s="14"/>
      <c r="AF107" s="14"/>
      <c r="AG107" s="14"/>
      <c r="AH107" s="14"/>
      <c r="AI107" s="14"/>
      <c r="AJ107" s="14"/>
      <c r="AK107" s="14"/>
      <c r="AL107" s="14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2:60" ht="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0"/>
      <c r="AB108" s="10"/>
      <c r="AC108" s="10"/>
      <c r="AD108" s="10"/>
      <c r="AE108" s="14"/>
      <c r="AF108" s="14"/>
      <c r="AG108" s="14"/>
      <c r="AH108" s="14"/>
      <c r="AI108" s="14"/>
      <c r="AJ108" s="14"/>
      <c r="AK108" s="14"/>
      <c r="AL108" s="14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2:60" ht="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0"/>
      <c r="AB109" s="10"/>
      <c r="AC109" s="10"/>
      <c r="AD109" s="10"/>
      <c r="AE109" s="14"/>
      <c r="AF109" s="14"/>
      <c r="AG109" s="14"/>
      <c r="AH109" s="14"/>
      <c r="AI109" s="14"/>
      <c r="AJ109" s="14"/>
      <c r="AK109" s="14"/>
      <c r="AL109" s="14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2:60" ht="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0"/>
      <c r="AB110" s="10"/>
      <c r="AC110" s="10"/>
      <c r="AD110" s="10"/>
      <c r="AE110" s="14"/>
      <c r="AF110" s="14"/>
      <c r="AG110" s="14"/>
      <c r="AH110" s="14"/>
      <c r="AI110" s="14"/>
      <c r="AJ110" s="14"/>
      <c r="AK110" s="14"/>
      <c r="AL110" s="14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2:60" ht="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0"/>
      <c r="AB111" s="10"/>
      <c r="AC111" s="10"/>
      <c r="AD111" s="10"/>
      <c r="AE111" s="14"/>
      <c r="AF111" s="14"/>
      <c r="AG111" s="14"/>
      <c r="AH111" s="14"/>
      <c r="AI111" s="14"/>
      <c r="AJ111" s="14"/>
      <c r="AK111" s="14"/>
      <c r="AL111" s="14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2:60" ht="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0"/>
      <c r="AB112" s="10"/>
      <c r="AC112" s="10"/>
      <c r="AD112" s="10"/>
      <c r="AE112" s="14"/>
      <c r="AF112" s="14"/>
      <c r="AG112" s="14"/>
      <c r="AH112" s="14"/>
      <c r="AI112" s="14"/>
      <c r="AJ112" s="14"/>
      <c r="AK112" s="14"/>
      <c r="AL112" s="14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2:60" ht="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0"/>
      <c r="AB113" s="10"/>
      <c r="AC113" s="10"/>
      <c r="AD113" s="10"/>
      <c r="AE113" s="14"/>
      <c r="AF113" s="14"/>
      <c r="AG113" s="14"/>
      <c r="AH113" s="14"/>
      <c r="AI113" s="14"/>
      <c r="AJ113" s="14"/>
      <c r="AK113" s="14"/>
      <c r="AL113" s="14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2:60" ht="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0"/>
      <c r="AB114" s="10"/>
      <c r="AC114" s="10"/>
      <c r="AD114" s="10"/>
      <c r="AE114" s="14"/>
      <c r="AF114" s="14"/>
      <c r="AG114" s="14"/>
      <c r="AH114" s="14"/>
      <c r="AI114" s="14"/>
      <c r="AJ114" s="14"/>
      <c r="AK114" s="14"/>
      <c r="AL114" s="14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</sheetData>
  <mergeCells count="2">
    <mergeCell ref="W1:Y1"/>
    <mergeCell ref="O7:S7"/>
  </mergeCells>
  <printOptions/>
  <pageMargins left="1" right="1" top="0.5" bottom="0.5" header="0" footer="0.25"/>
  <pageSetup firstPageNumber="42" useFirstPageNumber="1" horizontalDpi="600" verticalDpi="600" orientation="portrait" r:id="rId1"/>
  <headerFooter alignWithMargins="0">
    <oddFooter>&amp;C&amp;"Times New Roman,Regular"&amp;11&amp;P</oddFooter>
  </headerFooter>
  <colBreaks count="1" manualBreakCount="1">
    <brk id="22" max="9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75" workbookViewId="0" topLeftCell="A1">
      <selection activeCell="R75" sqref="R75"/>
    </sheetView>
  </sheetViews>
  <sheetFormatPr defaultColWidth="9.140625" defaultRowHeight="12.75"/>
  <cols>
    <col min="1" max="1" width="15.7109375" style="15" customWidth="1"/>
    <col min="2" max="2" width="1.7109375" style="15" customWidth="1"/>
    <col min="3" max="3" width="11.7109375" style="15" customWidth="1"/>
    <col min="4" max="4" width="1.7109375" style="15" customWidth="1"/>
    <col min="5" max="5" width="11.7109375" style="15" customWidth="1"/>
    <col min="6" max="6" width="1.7109375" style="15" customWidth="1"/>
    <col min="7" max="7" width="11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1.7109375" style="15" customWidth="1"/>
    <col min="12" max="12" width="1.7109375" style="15" customWidth="1"/>
    <col min="13" max="13" width="12.7109375" style="15" customWidth="1"/>
    <col min="14" max="14" width="1.7109375" style="15" customWidth="1"/>
    <col min="15" max="15" width="12.7109375" style="15" customWidth="1"/>
    <col min="16" max="16" width="1.7109375" style="15" customWidth="1"/>
    <col min="17" max="17" width="12.7109375" style="15" customWidth="1"/>
    <col min="18" max="18" width="10.140625" style="15" bestFit="1" customWidth="1"/>
    <col min="19" max="19" width="14.8515625" style="15" hidden="1" customWidth="1"/>
    <col min="20" max="20" width="9.140625" style="15" customWidth="1"/>
    <col min="21" max="21" width="10.140625" style="15" bestFit="1" customWidth="1"/>
    <col min="22" max="16384" width="9.140625" style="2" customWidth="1"/>
  </cols>
  <sheetData>
    <row r="1" spans="1:21" s="1" customFormat="1" ht="12">
      <c r="A1" s="17" t="s">
        <v>230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4"/>
      <c r="S1" s="24"/>
      <c r="T1" s="24"/>
      <c r="U1" s="24"/>
    </row>
    <row r="2" spans="1:21" s="1" customFormat="1" ht="12">
      <c r="A2" s="17" t="s">
        <v>211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4"/>
      <c r="S2" s="24"/>
      <c r="T2" s="24"/>
      <c r="U2" s="24"/>
    </row>
    <row r="3" spans="1:21" s="1" customFormat="1" ht="12">
      <c r="A3" s="6" t="s">
        <v>197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4"/>
      <c r="S3" s="24"/>
      <c r="T3" s="24"/>
      <c r="U3" s="24"/>
    </row>
    <row r="5" spans="1:21" s="1" customFormat="1" ht="12">
      <c r="A5" s="105" t="s">
        <v>246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4"/>
      <c r="S5" s="24"/>
      <c r="T5" s="24"/>
      <c r="U5" s="24"/>
    </row>
    <row r="6" spans="1:17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>
      <c r="A7" s="3"/>
      <c r="B7" s="3"/>
      <c r="C7" s="3" t="s">
        <v>105</v>
      </c>
      <c r="D7" s="3"/>
      <c r="E7" s="3" t="s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3</v>
      </c>
    </row>
    <row r="8" spans="1:19" ht="12">
      <c r="A8" s="3"/>
      <c r="B8" s="3"/>
      <c r="C8" s="3" t="s">
        <v>108</v>
      </c>
      <c r="D8" s="3"/>
      <c r="E8" s="3" t="s">
        <v>128</v>
      </c>
      <c r="F8" s="3"/>
      <c r="G8" s="3" t="s">
        <v>127</v>
      </c>
      <c r="H8" s="3"/>
      <c r="I8" s="3" t="s">
        <v>115</v>
      </c>
      <c r="J8" s="3"/>
      <c r="K8" s="3" t="s">
        <v>90</v>
      </c>
      <c r="L8" s="3"/>
      <c r="M8" s="3" t="s">
        <v>126</v>
      </c>
      <c r="N8" s="3"/>
      <c r="O8" s="3" t="s">
        <v>249</v>
      </c>
      <c r="P8" s="3"/>
      <c r="Q8" s="86" t="s">
        <v>109</v>
      </c>
      <c r="S8" s="15" t="s">
        <v>3</v>
      </c>
    </row>
    <row r="9" spans="1:19" ht="12">
      <c r="A9" s="53" t="s">
        <v>4</v>
      </c>
      <c r="B9" s="47"/>
      <c r="C9" s="53" t="s">
        <v>114</v>
      </c>
      <c r="D9" s="47"/>
      <c r="E9" s="53" t="s">
        <v>114</v>
      </c>
      <c r="F9" s="47"/>
      <c r="G9" s="53" t="s">
        <v>131</v>
      </c>
      <c r="H9" s="47"/>
      <c r="I9" s="53" t="s">
        <v>132</v>
      </c>
      <c r="J9" s="47"/>
      <c r="K9" s="53" t="s">
        <v>129</v>
      </c>
      <c r="L9" s="47"/>
      <c r="M9" s="53" t="s">
        <v>130</v>
      </c>
      <c r="N9" s="47"/>
      <c r="O9" s="53" t="s">
        <v>116</v>
      </c>
      <c r="P9" s="47"/>
      <c r="Q9" s="53" t="s">
        <v>116</v>
      </c>
      <c r="R9" s="13"/>
      <c r="S9" s="13" t="s">
        <v>133</v>
      </c>
    </row>
    <row r="10" spans="1:19" ht="12" hidden="1">
      <c r="A10" s="15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3">
        <f>O10+C10+I10+G10</f>
        <v>0</v>
      </c>
    </row>
    <row r="11" spans="3:19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3"/>
    </row>
    <row r="12" spans="1:19" ht="12">
      <c r="A12" s="15" t="s">
        <v>13</v>
      </c>
      <c r="C12" s="64">
        <v>15816293</v>
      </c>
      <c r="D12" s="64"/>
      <c r="E12" s="64">
        <v>8656707</v>
      </c>
      <c r="F12" s="64"/>
      <c r="G12" s="64">
        <v>8216100</v>
      </c>
      <c r="H12" s="64"/>
      <c r="I12" s="64">
        <v>232616</v>
      </c>
      <c r="J12" s="64"/>
      <c r="K12" s="64">
        <v>65627</v>
      </c>
      <c r="L12" s="64"/>
      <c r="M12" s="64">
        <v>2159771</v>
      </c>
      <c r="N12" s="64"/>
      <c r="O12" s="64">
        <v>0</v>
      </c>
      <c r="P12" s="64"/>
      <c r="Q12" s="64">
        <f>SUM(C12:O12)</f>
        <v>35147114</v>
      </c>
      <c r="R12" s="16"/>
      <c r="S12" s="23">
        <f aca="true" t="shared" si="0" ref="S12:S17">O12+C12+I12+G12</f>
        <v>24265009</v>
      </c>
    </row>
    <row r="13" spans="1:19" ht="12">
      <c r="A13" s="15" t="s">
        <v>14</v>
      </c>
      <c r="C13" s="67">
        <v>6365000</v>
      </c>
      <c r="D13" s="67"/>
      <c r="E13" s="67">
        <v>0</v>
      </c>
      <c r="F13" s="67"/>
      <c r="G13" s="67">
        <v>0</v>
      </c>
      <c r="H13" s="67"/>
      <c r="I13" s="67">
        <v>0</v>
      </c>
      <c r="J13" s="67"/>
      <c r="K13" s="67">
        <v>60203</v>
      </c>
      <c r="L13" s="67"/>
      <c r="M13" s="67">
        <v>867214</v>
      </c>
      <c r="N13" s="67"/>
      <c r="O13" s="67">
        <v>340873</v>
      </c>
      <c r="P13" s="67"/>
      <c r="Q13" s="67">
        <f aca="true" t="shared" si="1" ref="Q13:Q75">SUM(C13:O13)</f>
        <v>7633290</v>
      </c>
      <c r="R13" s="67"/>
      <c r="S13" s="23">
        <f t="shared" si="0"/>
        <v>6705873</v>
      </c>
    </row>
    <row r="14" spans="1:19" ht="12">
      <c r="A14" s="15" t="s">
        <v>15</v>
      </c>
      <c r="C14" s="67">
        <v>6538247</v>
      </c>
      <c r="D14" s="67"/>
      <c r="E14" s="67">
        <v>515000</v>
      </c>
      <c r="F14" s="67"/>
      <c r="G14" s="67">
        <v>3500000</v>
      </c>
      <c r="H14" s="67"/>
      <c r="I14" s="67">
        <f>55000+41299</f>
        <v>96299</v>
      </c>
      <c r="J14" s="67"/>
      <c r="K14" s="67">
        <v>385565</v>
      </c>
      <c r="L14" s="67"/>
      <c r="M14" s="67">
        <v>3169623</v>
      </c>
      <c r="N14" s="67"/>
      <c r="O14" s="67">
        <v>48354</v>
      </c>
      <c r="P14" s="67"/>
      <c r="Q14" s="67">
        <f t="shared" si="1"/>
        <v>14253088</v>
      </c>
      <c r="R14" s="67"/>
      <c r="S14" s="23">
        <f t="shared" si="0"/>
        <v>10182900</v>
      </c>
    </row>
    <row r="15" spans="1:19" ht="12">
      <c r="A15" s="15" t="s">
        <v>16</v>
      </c>
      <c r="C15" s="67">
        <v>3135000</v>
      </c>
      <c r="D15" s="67"/>
      <c r="E15" s="67">
        <v>0</v>
      </c>
      <c r="F15" s="67"/>
      <c r="G15" s="67">
        <v>0</v>
      </c>
      <c r="H15" s="67"/>
      <c r="I15" s="67">
        <v>1133313</v>
      </c>
      <c r="J15" s="67"/>
      <c r="K15" s="67">
        <v>40293</v>
      </c>
      <c r="L15" s="67"/>
      <c r="M15" s="67">
        <v>1194360</v>
      </c>
      <c r="N15" s="67"/>
      <c r="O15" s="67">
        <v>2911706</v>
      </c>
      <c r="P15" s="67"/>
      <c r="Q15" s="67">
        <f t="shared" si="1"/>
        <v>8414672</v>
      </c>
      <c r="R15" s="67"/>
      <c r="S15" s="23">
        <f t="shared" si="0"/>
        <v>7180019</v>
      </c>
    </row>
    <row r="16" spans="1:19" ht="12">
      <c r="A16" s="15" t="s">
        <v>17</v>
      </c>
      <c r="C16" s="67">
        <v>3550000</v>
      </c>
      <c r="D16" s="67"/>
      <c r="E16" s="67">
        <v>1735000</v>
      </c>
      <c r="F16" s="67"/>
      <c r="G16" s="67">
        <v>443749</v>
      </c>
      <c r="H16" s="67"/>
      <c r="I16" s="67">
        <v>52500</v>
      </c>
      <c r="J16" s="67"/>
      <c r="K16" s="67">
        <v>0</v>
      </c>
      <c r="L16" s="67"/>
      <c r="M16" s="67">
        <v>908338</v>
      </c>
      <c r="N16" s="67"/>
      <c r="O16" s="67">
        <v>0</v>
      </c>
      <c r="P16" s="67"/>
      <c r="Q16" s="67">
        <f t="shared" si="1"/>
        <v>6689587</v>
      </c>
      <c r="R16" s="67"/>
      <c r="S16" s="23">
        <f t="shared" si="0"/>
        <v>4046249</v>
      </c>
    </row>
    <row r="17" spans="1:19" ht="12">
      <c r="A17" s="15" t="s">
        <v>18</v>
      </c>
      <c r="C17" s="67">
        <v>4137142</v>
      </c>
      <c r="D17" s="67"/>
      <c r="E17" s="67">
        <v>0</v>
      </c>
      <c r="F17" s="67"/>
      <c r="G17" s="67">
        <f>400000+500000</f>
        <v>900000</v>
      </c>
      <c r="H17" s="67"/>
      <c r="I17" s="67">
        <v>0</v>
      </c>
      <c r="J17" s="67"/>
      <c r="K17" s="67">
        <v>285598</v>
      </c>
      <c r="L17" s="67"/>
      <c r="M17" s="67">
        <v>2394554</v>
      </c>
      <c r="N17" s="67"/>
      <c r="O17" s="67">
        <v>712545</v>
      </c>
      <c r="P17" s="67"/>
      <c r="Q17" s="67">
        <f t="shared" si="1"/>
        <v>8429839</v>
      </c>
      <c r="R17" s="67"/>
      <c r="S17" s="23">
        <f t="shared" si="0"/>
        <v>5749687</v>
      </c>
    </row>
    <row r="18" spans="1:19" ht="12">
      <c r="A18" s="15" t="s">
        <v>99</v>
      </c>
      <c r="C18" s="67">
        <v>2855000</v>
      </c>
      <c r="D18" s="67"/>
      <c r="E18" s="67">
        <v>0</v>
      </c>
      <c r="F18" s="67"/>
      <c r="G18" s="67">
        <v>0</v>
      </c>
      <c r="H18" s="67"/>
      <c r="I18" s="67">
        <v>18738</v>
      </c>
      <c r="J18" s="67"/>
      <c r="K18" s="67">
        <v>60714</v>
      </c>
      <c r="L18" s="67"/>
      <c r="M18" s="5">
        <v>666376</v>
      </c>
      <c r="N18" s="5"/>
      <c r="O18" s="5">
        <f>281458+342905</f>
        <v>624363</v>
      </c>
      <c r="P18" s="5"/>
      <c r="Q18" s="67">
        <f t="shared" si="1"/>
        <v>4225191</v>
      </c>
      <c r="R18" s="67"/>
      <c r="S18" s="23">
        <f>O19+C18+I18+G18</f>
        <v>28798738</v>
      </c>
    </row>
    <row r="19" spans="1:19" ht="12">
      <c r="A19" s="15" t="s">
        <v>19</v>
      </c>
      <c r="C19" s="67">
        <v>47947784</v>
      </c>
      <c r="D19" s="67"/>
      <c r="E19" s="67">
        <v>13511000</v>
      </c>
      <c r="F19" s="67"/>
      <c r="G19" s="67">
        <v>0</v>
      </c>
      <c r="H19" s="67"/>
      <c r="I19" s="67">
        <v>8846883</v>
      </c>
      <c r="J19" s="67"/>
      <c r="K19" s="67">
        <v>25047</v>
      </c>
      <c r="L19" s="67"/>
      <c r="M19" s="67">
        <v>4238824</v>
      </c>
      <c r="N19" s="67"/>
      <c r="O19" s="67">
        <f>25925000</f>
        <v>25925000</v>
      </c>
      <c r="P19" s="67"/>
      <c r="Q19" s="67">
        <f t="shared" si="1"/>
        <v>100494538</v>
      </c>
      <c r="R19" s="67"/>
      <c r="S19" s="23">
        <f>O20+C19+I19+G19</f>
        <v>56794667</v>
      </c>
    </row>
    <row r="20" spans="1:19" ht="12">
      <c r="A20" s="15" t="s">
        <v>20</v>
      </c>
      <c r="C20" s="67">
        <v>370000</v>
      </c>
      <c r="D20" s="67"/>
      <c r="E20" s="67">
        <v>49000</v>
      </c>
      <c r="F20" s="67"/>
      <c r="G20" s="67">
        <v>5870</v>
      </c>
      <c r="H20" s="67"/>
      <c r="I20" s="67">
        <v>29302</v>
      </c>
      <c r="J20" s="67"/>
      <c r="K20" s="67">
        <v>48937</v>
      </c>
      <c r="L20" s="67"/>
      <c r="M20" s="67">
        <v>786461</v>
      </c>
      <c r="N20" s="67"/>
      <c r="O20" s="67">
        <v>0</v>
      </c>
      <c r="P20" s="67"/>
      <c r="Q20" s="67">
        <f t="shared" si="1"/>
        <v>1289570</v>
      </c>
      <c r="R20" s="67"/>
      <c r="S20" s="23">
        <f aca="true" t="shared" si="2" ref="S20:S25">O20+C20+I20+G20</f>
        <v>405172</v>
      </c>
    </row>
    <row r="21" spans="1:19" ht="12" hidden="1">
      <c r="A21" s="13" t="s">
        <v>177</v>
      </c>
      <c r="B21" s="13"/>
      <c r="C21" s="67" t="s">
        <v>163</v>
      </c>
      <c r="D21" s="67"/>
      <c r="E21" s="67" t="s">
        <v>163</v>
      </c>
      <c r="F21" s="67"/>
      <c r="G21" s="67" t="s">
        <v>163</v>
      </c>
      <c r="H21" s="67"/>
      <c r="I21" s="67" t="s">
        <v>163</v>
      </c>
      <c r="J21" s="67"/>
      <c r="K21" s="67" t="s">
        <v>163</v>
      </c>
      <c r="L21" s="67"/>
      <c r="M21" s="67" t="s">
        <v>163</v>
      </c>
      <c r="N21" s="67"/>
      <c r="O21" s="67" t="s">
        <v>163</v>
      </c>
      <c r="P21" s="67"/>
      <c r="Q21" s="67">
        <f t="shared" si="1"/>
        <v>0</v>
      </c>
      <c r="R21" s="67"/>
      <c r="S21" s="23" t="e">
        <f t="shared" si="2"/>
        <v>#VALUE!</v>
      </c>
    </row>
    <row r="22" spans="1:19" ht="12">
      <c r="A22" s="15" t="s">
        <v>21</v>
      </c>
      <c r="C22" s="67">
        <v>7770000</v>
      </c>
      <c r="D22" s="67"/>
      <c r="E22" s="67">
        <v>0</v>
      </c>
      <c r="F22" s="67"/>
      <c r="G22" s="67">
        <v>0</v>
      </c>
      <c r="H22" s="67"/>
      <c r="I22" s="67">
        <v>0</v>
      </c>
      <c r="J22" s="67"/>
      <c r="K22" s="38">
        <v>4501615</v>
      </c>
      <c r="L22" s="38"/>
      <c r="M22" s="67">
        <v>1098910</v>
      </c>
      <c r="N22" s="67"/>
      <c r="O22" s="67">
        <v>0</v>
      </c>
      <c r="P22" s="67"/>
      <c r="Q22" s="67">
        <f t="shared" si="1"/>
        <v>13370525</v>
      </c>
      <c r="R22" s="67"/>
      <c r="S22" s="23">
        <f t="shared" si="2"/>
        <v>7770000</v>
      </c>
    </row>
    <row r="23" spans="1:19" ht="12" hidden="1">
      <c r="A23" s="15" t="s">
        <v>194</v>
      </c>
      <c r="C23" s="67"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>
        <f t="shared" si="1"/>
        <v>0</v>
      </c>
      <c r="R23" s="67"/>
      <c r="S23" s="23">
        <f t="shared" si="2"/>
        <v>0</v>
      </c>
    </row>
    <row r="24" spans="1:19" ht="12">
      <c r="A24" s="15" t="s">
        <v>23</v>
      </c>
      <c r="C24" s="67">
        <v>68376</v>
      </c>
      <c r="D24" s="67"/>
      <c r="E24" s="67">
        <v>5145000</v>
      </c>
      <c r="F24" s="67"/>
      <c r="G24" s="67">
        <v>0</v>
      </c>
      <c r="H24" s="67"/>
      <c r="I24" s="67">
        <v>0</v>
      </c>
      <c r="J24" s="67"/>
      <c r="K24" s="67">
        <v>0</v>
      </c>
      <c r="L24" s="67"/>
      <c r="M24" s="67">
        <v>784270</v>
      </c>
      <c r="N24" s="67"/>
      <c r="O24" s="67">
        <v>0</v>
      </c>
      <c r="P24" s="67"/>
      <c r="Q24" s="67">
        <f t="shared" si="1"/>
        <v>5997646</v>
      </c>
      <c r="R24" s="67"/>
      <c r="S24" s="23">
        <f t="shared" si="2"/>
        <v>68376</v>
      </c>
    </row>
    <row r="25" spans="1:19" ht="12" hidden="1">
      <c r="A25" s="15" t="s">
        <v>24</v>
      </c>
      <c r="C25" s="67" t="s">
        <v>163</v>
      </c>
      <c r="D25" s="67"/>
      <c r="E25" s="67" t="s">
        <v>163</v>
      </c>
      <c r="F25" s="67"/>
      <c r="G25" s="67" t="s">
        <v>163</v>
      </c>
      <c r="H25" s="67"/>
      <c r="I25" s="67" t="s">
        <v>163</v>
      </c>
      <c r="J25" s="67"/>
      <c r="K25" s="67" t="s">
        <v>163</v>
      </c>
      <c r="L25" s="67"/>
      <c r="M25" s="67" t="s">
        <v>163</v>
      </c>
      <c r="N25" s="67"/>
      <c r="O25" s="67" t="s">
        <v>163</v>
      </c>
      <c r="P25" s="67"/>
      <c r="Q25" s="67">
        <f t="shared" si="1"/>
        <v>0</v>
      </c>
      <c r="R25" s="67"/>
      <c r="S25" s="23" t="e">
        <f t="shared" si="2"/>
        <v>#VALUE!</v>
      </c>
    </row>
    <row r="26" spans="1:19" ht="12" hidden="1">
      <c r="A26" s="15" t="s">
        <v>25</v>
      </c>
      <c r="C26" s="67">
        <v>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>
        <f t="shared" si="1"/>
        <v>0</v>
      </c>
      <c r="R26" s="67"/>
      <c r="S26" s="23">
        <f aca="true" t="shared" si="3" ref="S26:S33">O26+C26+I26+G26</f>
        <v>0</v>
      </c>
    </row>
    <row r="27" spans="1:19" ht="12">
      <c r="A27" s="15" t="s">
        <v>192</v>
      </c>
      <c r="C27" s="67">
        <v>11095403</v>
      </c>
      <c r="D27" s="67"/>
      <c r="E27" s="67">
        <v>0</v>
      </c>
      <c r="F27" s="67"/>
      <c r="G27" s="67">
        <v>0</v>
      </c>
      <c r="H27" s="67"/>
      <c r="I27" s="67">
        <v>0</v>
      </c>
      <c r="J27" s="67"/>
      <c r="K27" s="67">
        <v>0</v>
      </c>
      <c r="L27" s="67"/>
      <c r="M27" s="67">
        <v>930752</v>
      </c>
      <c r="N27" s="67"/>
      <c r="O27" s="67">
        <v>0</v>
      </c>
      <c r="P27" s="67"/>
      <c r="Q27" s="67">
        <f t="shared" si="1"/>
        <v>12026155</v>
      </c>
      <c r="R27" s="67"/>
      <c r="S27" s="23">
        <f t="shared" si="3"/>
        <v>11095403</v>
      </c>
    </row>
    <row r="28" spans="1:19" ht="12">
      <c r="A28" s="15" t="s">
        <v>26</v>
      </c>
      <c r="C28" s="67">
        <v>189145000</v>
      </c>
      <c r="D28" s="67"/>
      <c r="E28" s="67">
        <v>308685000</v>
      </c>
      <c r="F28" s="67"/>
      <c r="G28" s="67">
        <f>2440</f>
        <v>2440</v>
      </c>
      <c r="H28" s="67"/>
      <c r="I28" s="67">
        <v>3610000</v>
      </c>
      <c r="J28" s="67"/>
      <c r="K28" s="67">
        <v>26345000</v>
      </c>
      <c r="L28" s="67"/>
      <c r="M28" s="67">
        <v>69293000</v>
      </c>
      <c r="N28" s="67"/>
      <c r="O28" s="67">
        <v>0</v>
      </c>
      <c r="P28" s="67"/>
      <c r="Q28" s="67">
        <f t="shared" si="1"/>
        <v>597080440</v>
      </c>
      <c r="R28" s="67"/>
      <c r="S28" s="23">
        <f t="shared" si="3"/>
        <v>192757440</v>
      </c>
    </row>
    <row r="29" spans="1:19" ht="12">
      <c r="A29" s="15" t="s">
        <v>27</v>
      </c>
      <c r="C29" s="67">
        <v>4115000</v>
      </c>
      <c r="D29" s="67"/>
      <c r="E29" s="67">
        <v>37740</v>
      </c>
      <c r="F29" s="67"/>
      <c r="G29" s="67">
        <v>0</v>
      </c>
      <c r="H29" s="67"/>
      <c r="I29" s="67">
        <v>0</v>
      </c>
      <c r="J29" s="67"/>
      <c r="K29" s="67">
        <v>0</v>
      </c>
      <c r="L29" s="67"/>
      <c r="M29" s="67">
        <v>1408556</v>
      </c>
      <c r="N29" s="67"/>
      <c r="O29" s="67">
        <v>0</v>
      </c>
      <c r="P29" s="67"/>
      <c r="Q29" s="67">
        <f t="shared" si="1"/>
        <v>5561296</v>
      </c>
      <c r="R29" s="67"/>
      <c r="S29" s="23">
        <f t="shared" si="3"/>
        <v>4115000</v>
      </c>
    </row>
    <row r="30" spans="1:19" ht="12">
      <c r="A30" s="15" t="s">
        <v>28</v>
      </c>
      <c r="C30" s="67">
        <v>2350000</v>
      </c>
      <c r="D30" s="67"/>
      <c r="E30" s="67">
        <v>837531</v>
      </c>
      <c r="F30" s="67"/>
      <c r="G30" s="67">
        <v>0</v>
      </c>
      <c r="H30" s="67"/>
      <c r="I30" s="67">
        <v>0</v>
      </c>
      <c r="J30" s="67"/>
      <c r="K30" s="67">
        <v>8957</v>
      </c>
      <c r="L30" s="67"/>
      <c r="M30" s="67">
        <v>640360</v>
      </c>
      <c r="N30" s="67"/>
      <c r="O30" s="67">
        <f>386141+133208</f>
        <v>519349</v>
      </c>
      <c r="P30" s="67"/>
      <c r="Q30" s="67">
        <f t="shared" si="1"/>
        <v>4356197</v>
      </c>
      <c r="R30" s="67"/>
      <c r="S30" s="23">
        <f t="shared" si="3"/>
        <v>2869349</v>
      </c>
    </row>
    <row r="31" spans="1:19" ht="12">
      <c r="A31" s="15" t="s">
        <v>29</v>
      </c>
      <c r="C31" s="67">
        <v>19930000</v>
      </c>
      <c r="D31" s="67"/>
      <c r="E31" s="67">
        <v>725000</v>
      </c>
      <c r="F31" s="67"/>
      <c r="G31" s="67">
        <v>0</v>
      </c>
      <c r="H31" s="67"/>
      <c r="I31" s="67">
        <v>0</v>
      </c>
      <c r="J31" s="67"/>
      <c r="K31" s="67">
        <v>0</v>
      </c>
      <c r="L31" s="67"/>
      <c r="M31" s="67">
        <v>1940524</v>
      </c>
      <c r="N31" s="67"/>
      <c r="O31" s="67">
        <v>0</v>
      </c>
      <c r="P31" s="67"/>
      <c r="Q31" s="67">
        <f t="shared" si="1"/>
        <v>22595524</v>
      </c>
      <c r="R31" s="67"/>
      <c r="S31" s="23">
        <f t="shared" si="3"/>
        <v>19930000</v>
      </c>
    </row>
    <row r="32" spans="1:19" ht="12">
      <c r="A32" s="15" t="s">
        <v>30</v>
      </c>
      <c r="C32" s="67">
        <v>9510000</v>
      </c>
      <c r="D32" s="67"/>
      <c r="E32" s="67">
        <v>2762171</v>
      </c>
      <c r="F32" s="67"/>
      <c r="G32" s="67">
        <v>0</v>
      </c>
      <c r="H32" s="67"/>
      <c r="I32" s="67">
        <v>0</v>
      </c>
      <c r="J32" s="67"/>
      <c r="K32" s="67">
        <v>28650</v>
      </c>
      <c r="L32" s="67"/>
      <c r="M32" s="67">
        <v>1650771</v>
      </c>
      <c r="N32" s="67"/>
      <c r="O32" s="67">
        <v>0</v>
      </c>
      <c r="P32" s="67"/>
      <c r="Q32" s="67">
        <f t="shared" si="1"/>
        <v>13951592</v>
      </c>
      <c r="R32" s="67"/>
      <c r="S32" s="23">
        <f t="shared" si="3"/>
        <v>9510000</v>
      </c>
    </row>
    <row r="33" spans="1:19" ht="12">
      <c r="A33" s="15" t="s">
        <v>31</v>
      </c>
      <c r="C33" s="67">
        <v>9265000</v>
      </c>
      <c r="D33" s="67"/>
      <c r="E33" s="67">
        <v>2031367</v>
      </c>
      <c r="F33" s="67"/>
      <c r="G33" s="67">
        <v>10605000</v>
      </c>
      <c r="H33" s="67"/>
      <c r="I33" s="67">
        <v>0</v>
      </c>
      <c r="J33" s="67"/>
      <c r="K33" s="67">
        <v>690323</v>
      </c>
      <c r="L33" s="67"/>
      <c r="M33" s="67">
        <v>2017069</v>
      </c>
      <c r="N33" s="67"/>
      <c r="O33" s="67">
        <f>916170</f>
        <v>916170</v>
      </c>
      <c r="P33" s="67"/>
      <c r="Q33" s="67">
        <f t="shared" si="1"/>
        <v>25524929</v>
      </c>
      <c r="R33" s="67"/>
      <c r="S33" s="23">
        <f t="shared" si="3"/>
        <v>20786170</v>
      </c>
    </row>
    <row r="34" spans="1:19" ht="12">
      <c r="A34" s="15" t="s">
        <v>32</v>
      </c>
      <c r="C34" s="67">
        <v>2555000</v>
      </c>
      <c r="D34" s="67"/>
      <c r="E34" s="67">
        <v>409000</v>
      </c>
      <c r="F34" s="67"/>
      <c r="G34" s="5">
        <v>0</v>
      </c>
      <c r="H34" s="5"/>
      <c r="I34" s="67">
        <v>0</v>
      </c>
      <c r="J34" s="67"/>
      <c r="K34" s="67">
        <v>67161</v>
      </c>
      <c r="L34" s="67"/>
      <c r="M34" s="67">
        <v>948977</v>
      </c>
      <c r="N34" s="67"/>
      <c r="O34" s="67">
        <f>302778</f>
        <v>302778</v>
      </c>
      <c r="P34" s="67"/>
      <c r="Q34" s="67">
        <f t="shared" si="1"/>
        <v>4282916</v>
      </c>
      <c r="R34" s="67"/>
      <c r="S34" s="23">
        <f>O34+C34+I34+E34</f>
        <v>3266778</v>
      </c>
    </row>
    <row r="35" spans="1:19" ht="12">
      <c r="A35" s="15" t="s">
        <v>33</v>
      </c>
      <c r="C35" s="67">
        <v>131500000</v>
      </c>
      <c r="D35" s="67"/>
      <c r="E35" s="67">
        <v>0</v>
      </c>
      <c r="F35" s="67"/>
      <c r="G35" s="67">
        <v>4456000</v>
      </c>
      <c r="H35" s="67"/>
      <c r="I35" s="67">
        <v>0</v>
      </c>
      <c r="J35" s="67"/>
      <c r="K35" s="67">
        <v>0</v>
      </c>
      <c r="L35" s="67"/>
      <c r="M35" s="67">
        <v>28351</v>
      </c>
      <c r="N35" s="67"/>
      <c r="O35" s="67">
        <v>6380000</v>
      </c>
      <c r="P35" s="67"/>
      <c r="Q35" s="67">
        <f t="shared" si="1"/>
        <v>142364351</v>
      </c>
      <c r="R35" s="67"/>
      <c r="S35" s="23">
        <f aca="true" t="shared" si="4" ref="S35:S41">O35+C35+I35+G35</f>
        <v>142336000</v>
      </c>
    </row>
    <row r="36" spans="1:19" ht="12">
      <c r="A36" s="15" t="s">
        <v>34</v>
      </c>
      <c r="C36" s="67">
        <v>0</v>
      </c>
      <c r="D36" s="67"/>
      <c r="E36" s="67">
        <v>145000</v>
      </c>
      <c r="F36" s="67"/>
      <c r="G36" s="67">
        <v>950000</v>
      </c>
      <c r="H36" s="67"/>
      <c r="I36" s="67">
        <v>1173303</v>
      </c>
      <c r="J36" s="67"/>
      <c r="K36" s="67">
        <v>3900</v>
      </c>
      <c r="L36" s="67"/>
      <c r="M36" s="67">
        <v>568853</v>
      </c>
      <c r="N36" s="67"/>
      <c r="O36" s="67">
        <f>472489</f>
        <v>472489</v>
      </c>
      <c r="P36" s="67"/>
      <c r="Q36" s="67">
        <f t="shared" si="1"/>
        <v>3313545</v>
      </c>
      <c r="R36" s="67"/>
      <c r="S36" s="23">
        <f t="shared" si="4"/>
        <v>2595792</v>
      </c>
    </row>
    <row r="37" spans="1:19" ht="12">
      <c r="A37" s="15" t="s">
        <v>35</v>
      </c>
      <c r="C37" s="67">
        <f>250000+390000+200000</f>
        <v>840000</v>
      </c>
      <c r="D37" s="67"/>
      <c r="E37" s="67">
        <v>0</v>
      </c>
      <c r="F37" s="67"/>
      <c r="G37" s="67">
        <v>0</v>
      </c>
      <c r="H37" s="67"/>
      <c r="I37" s="67">
        <v>0</v>
      </c>
      <c r="J37" s="67"/>
      <c r="K37" s="67">
        <v>144478</v>
      </c>
      <c r="L37" s="67"/>
      <c r="M37" s="67">
        <v>1219203</v>
      </c>
      <c r="N37" s="67"/>
      <c r="O37" s="67">
        <v>0</v>
      </c>
      <c r="P37" s="67"/>
      <c r="Q37" s="67">
        <f t="shared" si="1"/>
        <v>2203681</v>
      </c>
      <c r="R37" s="67"/>
      <c r="S37" s="23">
        <f t="shared" si="4"/>
        <v>840000</v>
      </c>
    </row>
    <row r="38" spans="1:19" ht="12">
      <c r="A38" s="15" t="s">
        <v>36</v>
      </c>
      <c r="C38" s="67">
        <v>200000</v>
      </c>
      <c r="D38" s="67"/>
      <c r="E38" s="67">
        <v>231099</v>
      </c>
      <c r="F38" s="67"/>
      <c r="G38" s="67">
        <v>1400000</v>
      </c>
      <c r="H38" s="67"/>
      <c r="I38" s="67">
        <v>0</v>
      </c>
      <c r="J38" s="67"/>
      <c r="K38" s="67">
        <v>0</v>
      </c>
      <c r="L38" s="67"/>
      <c r="M38" s="67">
        <v>360339</v>
      </c>
      <c r="N38" s="67"/>
      <c r="O38" s="67">
        <v>0</v>
      </c>
      <c r="P38" s="67"/>
      <c r="Q38" s="67">
        <f t="shared" si="1"/>
        <v>2191438</v>
      </c>
      <c r="R38" s="67"/>
      <c r="S38" s="23">
        <f t="shared" si="4"/>
        <v>1600000</v>
      </c>
    </row>
    <row r="39" spans="1:19" ht="12">
      <c r="A39" s="15" t="s">
        <v>195</v>
      </c>
      <c r="C39" s="67">
        <v>14310000</v>
      </c>
      <c r="D39" s="67"/>
      <c r="E39" s="67">
        <v>635000</v>
      </c>
      <c r="F39" s="67"/>
      <c r="G39" s="67">
        <v>0</v>
      </c>
      <c r="H39" s="67"/>
      <c r="I39" s="67">
        <v>0</v>
      </c>
      <c r="J39" s="67"/>
      <c r="K39" s="67">
        <v>17121</v>
      </c>
      <c r="L39" s="67"/>
      <c r="M39" s="5">
        <v>4002327</v>
      </c>
      <c r="N39" s="5"/>
      <c r="O39" s="67">
        <f>2677143</f>
        <v>2677143</v>
      </c>
      <c r="P39" s="67"/>
      <c r="Q39" s="67">
        <f t="shared" si="1"/>
        <v>21641591</v>
      </c>
      <c r="R39" s="67"/>
      <c r="S39" s="23">
        <f t="shared" si="4"/>
        <v>16987143</v>
      </c>
    </row>
    <row r="40" spans="1:19" ht="12">
      <c r="A40" s="15" t="s">
        <v>37</v>
      </c>
      <c r="C40" s="67">
        <v>4800042</v>
      </c>
      <c r="D40" s="67"/>
      <c r="E40" s="67">
        <v>638728</v>
      </c>
      <c r="F40" s="67"/>
      <c r="G40" s="67">
        <f>2000000+118978</f>
        <v>2118978</v>
      </c>
      <c r="H40" s="67"/>
      <c r="I40" s="67">
        <v>0</v>
      </c>
      <c r="J40" s="67"/>
      <c r="K40" s="67">
        <v>147460</v>
      </c>
      <c r="L40" s="67"/>
      <c r="M40" s="67">
        <v>1285906</v>
      </c>
      <c r="N40" s="67"/>
      <c r="O40" s="67">
        <v>0</v>
      </c>
      <c r="P40" s="67"/>
      <c r="Q40" s="67">
        <f t="shared" si="1"/>
        <v>8991114</v>
      </c>
      <c r="R40" s="67"/>
      <c r="S40" s="23">
        <f t="shared" si="4"/>
        <v>6919020</v>
      </c>
    </row>
    <row r="41" spans="1:19" ht="12">
      <c r="A41" s="15" t="s">
        <v>38</v>
      </c>
      <c r="C41" s="67">
        <f>17360000+126770000+19490000</f>
        <v>163620000</v>
      </c>
      <c r="D41" s="67"/>
      <c r="E41" s="67">
        <f>3605000</f>
        <v>3605000</v>
      </c>
      <c r="F41" s="67"/>
      <c r="G41" s="67">
        <v>0</v>
      </c>
      <c r="H41" s="67"/>
      <c r="I41" s="67">
        <f>5601000</f>
        <v>5601000</v>
      </c>
      <c r="J41" s="67"/>
      <c r="K41" s="67">
        <v>0</v>
      </c>
      <c r="L41" s="67"/>
      <c r="M41" s="67">
        <v>35619000</v>
      </c>
      <c r="N41" s="67"/>
      <c r="O41" s="67">
        <v>0</v>
      </c>
      <c r="P41" s="67"/>
      <c r="Q41" s="67">
        <f t="shared" si="1"/>
        <v>208445000</v>
      </c>
      <c r="R41" s="67"/>
      <c r="S41" s="23">
        <f t="shared" si="4"/>
        <v>169221000</v>
      </c>
    </row>
    <row r="42" spans="1:19" ht="12">
      <c r="A42" s="15" t="s">
        <v>39</v>
      </c>
      <c r="C42" s="5">
        <f>12655925</f>
        <v>12655925</v>
      </c>
      <c r="D42" s="5"/>
      <c r="E42" s="5">
        <v>1171799</v>
      </c>
      <c r="F42" s="5"/>
      <c r="G42" s="5">
        <v>0</v>
      </c>
      <c r="H42" s="5"/>
      <c r="I42" s="5">
        <f>523242+74626</f>
        <v>597868</v>
      </c>
      <c r="J42" s="5"/>
      <c r="K42" s="5">
        <v>0</v>
      </c>
      <c r="L42" s="5"/>
      <c r="M42" s="5">
        <v>2966009</v>
      </c>
      <c r="N42" s="5"/>
      <c r="O42" s="5">
        <v>0</v>
      </c>
      <c r="P42" s="5"/>
      <c r="Q42" s="67">
        <f t="shared" si="1"/>
        <v>17391601</v>
      </c>
      <c r="R42" s="5"/>
      <c r="S42" s="23">
        <f>O42+C42+I42+G42</f>
        <v>13253793</v>
      </c>
    </row>
    <row r="43" spans="1:19" ht="12" hidden="1">
      <c r="A43" s="15" t="s">
        <v>169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23" t="s">
        <v>22</v>
      </c>
    </row>
    <row r="44" spans="1:19" ht="12" hidden="1">
      <c r="A44" s="15" t="s">
        <v>40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23" t="s">
        <v>22</v>
      </c>
    </row>
    <row r="45" spans="1:19" ht="12">
      <c r="A45" s="15" t="s">
        <v>41</v>
      </c>
      <c r="C45" s="67">
        <v>1400000</v>
      </c>
      <c r="D45" s="67"/>
      <c r="E45" s="67">
        <v>328576</v>
      </c>
      <c r="F45" s="67"/>
      <c r="G45" s="67">
        <v>0</v>
      </c>
      <c r="H45" s="67"/>
      <c r="I45" s="67">
        <v>562377</v>
      </c>
      <c r="J45" s="67"/>
      <c r="K45" s="67">
        <v>0</v>
      </c>
      <c r="L45" s="67"/>
      <c r="M45" s="67">
        <v>956629</v>
      </c>
      <c r="N45" s="67"/>
      <c r="O45" s="67">
        <f>2327000</f>
        <v>2327000</v>
      </c>
      <c r="P45" s="67"/>
      <c r="Q45" s="67">
        <f t="shared" si="1"/>
        <v>5574582</v>
      </c>
      <c r="R45" s="67"/>
      <c r="S45" s="23">
        <f>O45+C45+I45+G45</f>
        <v>4289377</v>
      </c>
    </row>
    <row r="46" spans="1:19" ht="12" hidden="1">
      <c r="A46" s="15" t="s">
        <v>42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23" t="s">
        <v>22</v>
      </c>
    </row>
    <row r="47" spans="1:19" ht="12">
      <c r="A47" s="15" t="s">
        <v>43</v>
      </c>
      <c r="C47" s="67">
        <v>598758</v>
      </c>
      <c r="D47" s="67"/>
      <c r="E47" s="67">
        <v>84190</v>
      </c>
      <c r="F47" s="67"/>
      <c r="G47" s="67">
        <v>105072</v>
      </c>
      <c r="H47" s="67"/>
      <c r="I47" s="67">
        <v>0</v>
      </c>
      <c r="J47" s="67"/>
      <c r="K47" s="67">
        <v>185022</v>
      </c>
      <c r="L47" s="67"/>
      <c r="M47" s="67">
        <v>757824</v>
      </c>
      <c r="N47" s="67"/>
      <c r="O47" s="67">
        <v>0</v>
      </c>
      <c r="P47" s="67"/>
      <c r="Q47" s="67">
        <f t="shared" si="1"/>
        <v>1730866</v>
      </c>
      <c r="R47" s="67"/>
      <c r="S47" s="23">
        <f aca="true" t="shared" si="5" ref="S47:S57">O47+C47+I47+G47</f>
        <v>703830</v>
      </c>
    </row>
    <row r="48" spans="1:19" ht="12">
      <c r="A48" s="15" t="s">
        <v>44</v>
      </c>
      <c r="C48" s="67">
        <v>5605000</v>
      </c>
      <c r="D48" s="67"/>
      <c r="E48" s="67">
        <v>0</v>
      </c>
      <c r="F48" s="67"/>
      <c r="G48" s="67">
        <v>0</v>
      </c>
      <c r="H48" s="67"/>
      <c r="I48" s="67">
        <v>0</v>
      </c>
      <c r="J48" s="67"/>
      <c r="K48" s="67">
        <v>0</v>
      </c>
      <c r="L48" s="67"/>
      <c r="M48" s="67">
        <v>846302</v>
      </c>
      <c r="N48" s="67"/>
      <c r="O48" s="67">
        <v>485918</v>
      </c>
      <c r="P48" s="67"/>
      <c r="Q48" s="67">
        <f t="shared" si="1"/>
        <v>6937220</v>
      </c>
      <c r="R48" s="67"/>
      <c r="S48" s="23">
        <f>O48+C48+I48+G48</f>
        <v>6090918</v>
      </c>
    </row>
    <row r="49" spans="1:19" ht="12">
      <c r="A49" s="15" t="s">
        <v>45</v>
      </c>
      <c r="C49" s="67">
        <v>8598369</v>
      </c>
      <c r="D49" s="67"/>
      <c r="E49" s="67">
        <v>0</v>
      </c>
      <c r="F49" s="67"/>
      <c r="G49" s="67">
        <v>0</v>
      </c>
      <c r="H49" s="67"/>
      <c r="I49" s="67">
        <v>0</v>
      </c>
      <c r="J49" s="67"/>
      <c r="K49" s="67">
        <v>0</v>
      </c>
      <c r="L49" s="67"/>
      <c r="M49" s="67">
        <v>1436537</v>
      </c>
      <c r="N49" s="67"/>
      <c r="O49" s="67">
        <v>0</v>
      </c>
      <c r="P49" s="67"/>
      <c r="Q49" s="67">
        <f t="shared" si="1"/>
        <v>10034906</v>
      </c>
      <c r="R49" s="67"/>
      <c r="S49" s="23">
        <f t="shared" si="5"/>
        <v>8598369</v>
      </c>
    </row>
    <row r="50" spans="1:19" ht="12">
      <c r="A50" s="15" t="s">
        <v>46</v>
      </c>
      <c r="C50" s="67">
        <v>535000</v>
      </c>
      <c r="D50" s="67"/>
      <c r="E50" s="67">
        <v>0</v>
      </c>
      <c r="F50" s="67"/>
      <c r="G50" s="67">
        <v>445170</v>
      </c>
      <c r="H50" s="67"/>
      <c r="I50" s="67">
        <v>56092</v>
      </c>
      <c r="J50" s="67"/>
      <c r="K50" s="67">
        <v>25266</v>
      </c>
      <c r="L50" s="67"/>
      <c r="M50" s="67">
        <v>498995</v>
      </c>
      <c r="N50" s="67"/>
      <c r="O50" s="67">
        <v>249113</v>
      </c>
      <c r="P50" s="67"/>
      <c r="Q50" s="67">
        <f t="shared" si="1"/>
        <v>1809636</v>
      </c>
      <c r="R50" s="67"/>
      <c r="S50" s="23">
        <f t="shared" si="5"/>
        <v>1285375</v>
      </c>
    </row>
    <row r="51" spans="1:19" ht="12">
      <c r="A51" s="15" t="s">
        <v>47</v>
      </c>
      <c r="C51" s="67">
        <v>26252252</v>
      </c>
      <c r="D51" s="67"/>
      <c r="E51" s="67">
        <v>0</v>
      </c>
      <c r="F51" s="67"/>
      <c r="G51" s="67">
        <v>1047131</v>
      </c>
      <c r="H51" s="67"/>
      <c r="I51" s="67">
        <f>301098+68276</f>
        <v>369374</v>
      </c>
      <c r="J51" s="67"/>
      <c r="K51" s="67">
        <f>93776</f>
        <v>93776</v>
      </c>
      <c r="L51" s="67"/>
      <c r="M51" s="67">
        <f>2135980</f>
        <v>2135980</v>
      </c>
      <c r="N51" s="67"/>
      <c r="O51" s="67">
        <f>2326588+132195</f>
        <v>2458783</v>
      </c>
      <c r="P51" s="67"/>
      <c r="Q51" s="67">
        <f t="shared" si="1"/>
        <v>32357296</v>
      </c>
      <c r="R51" s="67"/>
      <c r="S51" s="23">
        <f>O51+C51+I51+G51</f>
        <v>30127540</v>
      </c>
    </row>
    <row r="52" spans="1:19" ht="12">
      <c r="A52" s="15" t="s">
        <v>48</v>
      </c>
      <c r="C52" s="67">
        <v>12385000</v>
      </c>
      <c r="D52" s="67"/>
      <c r="E52" s="67">
        <v>445000</v>
      </c>
      <c r="F52" s="67"/>
      <c r="G52" s="67">
        <v>230000</v>
      </c>
      <c r="H52" s="67"/>
      <c r="I52" s="67">
        <v>0</v>
      </c>
      <c r="J52" s="67"/>
      <c r="K52" s="67">
        <v>10832</v>
      </c>
      <c r="L52" s="67"/>
      <c r="M52" s="67">
        <v>784110</v>
      </c>
      <c r="N52" s="67"/>
      <c r="O52" s="67">
        <v>0</v>
      </c>
      <c r="P52" s="67"/>
      <c r="Q52" s="67">
        <f t="shared" si="1"/>
        <v>13854942</v>
      </c>
      <c r="R52" s="67"/>
      <c r="S52" s="23">
        <f>O52+C52+I52+G52</f>
        <v>12615000</v>
      </c>
    </row>
    <row r="53" spans="1:19" ht="12">
      <c r="A53" s="15" t="s">
        <v>49</v>
      </c>
      <c r="C53" s="67">
        <v>16880000</v>
      </c>
      <c r="D53" s="67"/>
      <c r="E53" s="67">
        <v>7721350</v>
      </c>
      <c r="F53" s="67"/>
      <c r="G53" s="67">
        <v>0</v>
      </c>
      <c r="H53" s="67"/>
      <c r="I53" s="67">
        <v>0</v>
      </c>
      <c r="J53" s="67"/>
      <c r="K53" s="67">
        <v>524128</v>
      </c>
      <c r="L53" s="67"/>
      <c r="M53" s="67">
        <v>9259850</v>
      </c>
      <c r="N53" s="67"/>
      <c r="O53" s="67">
        <v>0</v>
      </c>
      <c r="P53" s="67"/>
      <c r="Q53" s="67">
        <f t="shared" si="1"/>
        <v>34385328</v>
      </c>
      <c r="R53" s="67"/>
      <c r="S53" s="23">
        <f t="shared" si="5"/>
        <v>16880000</v>
      </c>
    </row>
    <row r="54" spans="1:19" ht="12" hidden="1">
      <c r="A54" s="15" t="s">
        <v>171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>
        <f t="shared" si="1"/>
        <v>0</v>
      </c>
      <c r="R54" s="67"/>
      <c r="S54" s="23">
        <f t="shared" si="5"/>
        <v>0</v>
      </c>
    </row>
    <row r="55" spans="1:19" ht="12">
      <c r="A55" s="15" t="s">
        <v>50</v>
      </c>
      <c r="C55" s="67">
        <v>12651530</v>
      </c>
      <c r="D55" s="67"/>
      <c r="E55" s="67">
        <v>220760</v>
      </c>
      <c r="F55" s="67"/>
      <c r="G55" s="67">
        <v>0</v>
      </c>
      <c r="H55" s="67"/>
      <c r="I55" s="67">
        <v>0</v>
      </c>
      <c r="J55" s="67"/>
      <c r="K55" s="67">
        <v>87</v>
      </c>
      <c r="L55" s="67"/>
      <c r="M55" s="67">
        <v>2949855</v>
      </c>
      <c r="N55" s="67"/>
      <c r="O55" s="67">
        <v>0</v>
      </c>
      <c r="P55" s="67"/>
      <c r="Q55" s="67">
        <f t="shared" si="1"/>
        <v>15822232</v>
      </c>
      <c r="R55" s="67"/>
      <c r="S55" s="23">
        <f t="shared" si="5"/>
        <v>12651530</v>
      </c>
    </row>
    <row r="56" spans="1:19" ht="12">
      <c r="A56" s="15" t="s">
        <v>51</v>
      </c>
      <c r="C56" s="67">
        <v>8635000</v>
      </c>
      <c r="D56" s="67"/>
      <c r="E56" s="67">
        <v>0</v>
      </c>
      <c r="F56" s="67"/>
      <c r="G56" s="67">
        <v>0</v>
      </c>
      <c r="H56" s="67"/>
      <c r="I56" s="67">
        <v>0</v>
      </c>
      <c r="J56" s="67"/>
      <c r="K56" s="67">
        <v>102161</v>
      </c>
      <c r="L56" s="67"/>
      <c r="M56" s="67">
        <v>1013884</v>
      </c>
      <c r="N56" s="67"/>
      <c r="O56" s="67">
        <v>0</v>
      </c>
      <c r="P56" s="67"/>
      <c r="Q56" s="67">
        <f t="shared" si="1"/>
        <v>9751045</v>
      </c>
      <c r="R56" s="67"/>
      <c r="S56" s="23">
        <f t="shared" si="5"/>
        <v>8635000</v>
      </c>
    </row>
    <row r="57" spans="1:19" ht="12">
      <c r="A57" s="15" t="s">
        <v>52</v>
      </c>
      <c r="C57" s="67">
        <f>27235000</f>
        <v>27235000</v>
      </c>
      <c r="D57" s="67"/>
      <c r="E57" s="67">
        <v>5458808</v>
      </c>
      <c r="F57" s="67"/>
      <c r="G57" s="67">
        <v>0</v>
      </c>
      <c r="H57" s="67"/>
      <c r="I57" s="67">
        <f>1547015</f>
        <v>1547015</v>
      </c>
      <c r="J57" s="67"/>
      <c r="K57" s="67">
        <v>0</v>
      </c>
      <c r="L57" s="67"/>
      <c r="M57" s="67">
        <v>6856839</v>
      </c>
      <c r="N57" s="67"/>
      <c r="O57" s="67">
        <v>2401085</v>
      </c>
      <c r="P57" s="67"/>
      <c r="Q57" s="67">
        <f t="shared" si="1"/>
        <v>43498747</v>
      </c>
      <c r="R57" s="67"/>
      <c r="S57" s="23">
        <f t="shared" si="5"/>
        <v>31183100</v>
      </c>
    </row>
    <row r="58" spans="1:19" ht="12">
      <c r="A58" s="15" t="s">
        <v>196</v>
      </c>
      <c r="C58" s="67">
        <v>53200000</v>
      </c>
      <c r="D58" s="67"/>
      <c r="E58" s="67">
        <v>13159000</v>
      </c>
      <c r="F58" s="67"/>
      <c r="G58" s="67">
        <v>0</v>
      </c>
      <c r="H58" s="67"/>
      <c r="I58" s="67">
        <f>21755000+3039000</f>
        <v>24794000</v>
      </c>
      <c r="J58" s="67"/>
      <c r="K58" s="67">
        <v>7673000</v>
      </c>
      <c r="L58" s="67"/>
      <c r="M58" s="67">
        <v>17821000</v>
      </c>
      <c r="N58" s="67"/>
      <c r="O58" s="5">
        <f>19520000+12617000</f>
        <v>32137000</v>
      </c>
      <c r="P58" s="5"/>
      <c r="Q58" s="67">
        <f t="shared" si="1"/>
        <v>148784000</v>
      </c>
      <c r="R58" s="67"/>
      <c r="S58" s="23">
        <f>M58+C58+I58+G58</f>
        <v>95815000</v>
      </c>
    </row>
    <row r="59" spans="1:19" ht="12" hidden="1">
      <c r="A59" s="15" t="s">
        <v>53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23">
        <f aca="true" t="shared" si="6" ref="S59:S91">O59+C59+I59+G59</f>
        <v>0</v>
      </c>
    </row>
    <row r="60" spans="1:19" ht="12">
      <c r="A60" s="15" t="s">
        <v>54</v>
      </c>
      <c r="C60" s="67">
        <f>29705266+1695000</f>
        <v>31400266</v>
      </c>
      <c r="D60" s="67"/>
      <c r="E60" s="67">
        <v>0</v>
      </c>
      <c r="F60" s="67"/>
      <c r="G60" s="67">
        <v>602895</v>
      </c>
      <c r="H60" s="67"/>
      <c r="I60" s="67">
        <v>0</v>
      </c>
      <c r="J60" s="67"/>
      <c r="K60" s="67">
        <v>0</v>
      </c>
      <c r="L60" s="67"/>
      <c r="M60" s="67">
        <v>6707227</v>
      </c>
      <c r="N60" s="67"/>
      <c r="O60" s="67">
        <f>504720+2967163</f>
        <v>3471883</v>
      </c>
      <c r="P60" s="67"/>
      <c r="Q60" s="67">
        <f t="shared" si="1"/>
        <v>42182271</v>
      </c>
      <c r="R60" s="67"/>
      <c r="S60" s="23">
        <f t="shared" si="6"/>
        <v>35475044</v>
      </c>
    </row>
    <row r="61" spans="1:19" ht="12">
      <c r="A61" s="15" t="s">
        <v>55</v>
      </c>
      <c r="C61" s="67">
        <f>10821044</f>
        <v>10821044</v>
      </c>
      <c r="D61" s="67"/>
      <c r="E61" s="67">
        <f>238956</f>
        <v>238956</v>
      </c>
      <c r="F61" s="67"/>
      <c r="G61" s="67">
        <v>0</v>
      </c>
      <c r="H61" s="67"/>
      <c r="I61" s="67">
        <f>8849+131816</f>
        <v>140665</v>
      </c>
      <c r="J61" s="67"/>
      <c r="K61" s="67">
        <v>0</v>
      </c>
      <c r="L61" s="67"/>
      <c r="M61" s="67">
        <v>1351556</v>
      </c>
      <c r="N61" s="67"/>
      <c r="O61" s="67">
        <v>710003</v>
      </c>
      <c r="P61" s="67"/>
      <c r="Q61" s="67">
        <f t="shared" si="1"/>
        <v>13262224</v>
      </c>
      <c r="R61" s="67"/>
      <c r="S61" s="23">
        <f t="shared" si="6"/>
        <v>11671712</v>
      </c>
    </row>
    <row r="62" spans="1:19" ht="12">
      <c r="A62" s="15" t="s">
        <v>56</v>
      </c>
      <c r="C62" s="67">
        <v>14732113</v>
      </c>
      <c r="D62" s="67"/>
      <c r="E62" s="67">
        <v>2242180</v>
      </c>
      <c r="F62" s="67"/>
      <c r="G62" s="67">
        <v>0</v>
      </c>
      <c r="H62" s="67"/>
      <c r="I62" s="67">
        <v>3078086</v>
      </c>
      <c r="J62" s="67"/>
      <c r="K62" s="67">
        <v>0</v>
      </c>
      <c r="L62" s="67"/>
      <c r="M62" s="67">
        <v>2415497</v>
      </c>
      <c r="N62" s="67"/>
      <c r="O62" s="67">
        <v>249352</v>
      </c>
      <c r="P62" s="67"/>
      <c r="Q62" s="67">
        <f t="shared" si="1"/>
        <v>22717228</v>
      </c>
      <c r="R62" s="67"/>
      <c r="S62" s="23">
        <f t="shared" si="6"/>
        <v>18059551</v>
      </c>
    </row>
    <row r="63" spans="1:19" ht="12" hidden="1">
      <c r="A63" s="15" t="s">
        <v>173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23" t="s">
        <v>22</v>
      </c>
    </row>
    <row r="64" spans="1:19" ht="12" hidden="1">
      <c r="A64" s="15" t="s">
        <v>57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23">
        <f t="shared" si="6"/>
        <v>0</v>
      </c>
    </row>
    <row r="65" spans="1:19" ht="12">
      <c r="A65" s="15" t="s">
        <v>58</v>
      </c>
      <c r="C65" s="67">
        <v>0</v>
      </c>
      <c r="D65" s="67"/>
      <c r="E65" s="67">
        <v>0</v>
      </c>
      <c r="F65" s="67"/>
      <c r="G65" s="67">
        <v>0</v>
      </c>
      <c r="H65" s="67"/>
      <c r="I65" s="67">
        <v>0</v>
      </c>
      <c r="J65" s="67"/>
      <c r="K65" s="67">
        <v>44246</v>
      </c>
      <c r="L65" s="67"/>
      <c r="M65" s="67">
        <v>2259163</v>
      </c>
      <c r="N65" s="67"/>
      <c r="O65" s="67">
        <v>337286</v>
      </c>
      <c r="P65" s="67"/>
      <c r="Q65" s="67">
        <f t="shared" si="1"/>
        <v>2640695</v>
      </c>
      <c r="R65" s="67"/>
      <c r="S65" s="23">
        <f t="shared" si="6"/>
        <v>337286</v>
      </c>
    </row>
    <row r="66" spans="1:19" ht="12" hidden="1">
      <c r="A66" s="15" t="s">
        <v>59</v>
      </c>
      <c r="C66" s="67">
        <v>0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>
        <f t="shared" si="1"/>
        <v>0</v>
      </c>
      <c r="R66" s="67"/>
      <c r="S66" s="23">
        <f t="shared" si="6"/>
        <v>0</v>
      </c>
    </row>
    <row r="67" spans="1:19" ht="12">
      <c r="A67" s="15" t="s">
        <v>60</v>
      </c>
      <c r="C67" s="67">
        <v>39740000</v>
      </c>
      <c r="D67" s="67"/>
      <c r="E67" s="67">
        <v>2512218</v>
      </c>
      <c r="F67" s="67"/>
      <c r="G67" s="67">
        <v>0</v>
      </c>
      <c r="H67" s="67"/>
      <c r="I67" s="67">
        <v>0</v>
      </c>
      <c r="J67" s="67"/>
      <c r="K67" s="67">
        <v>745282</v>
      </c>
      <c r="L67" s="67"/>
      <c r="M67" s="67">
        <v>17195805</v>
      </c>
      <c r="N67" s="67"/>
      <c r="O67" s="67">
        <v>0</v>
      </c>
      <c r="P67" s="67"/>
      <c r="Q67" s="67">
        <f t="shared" si="1"/>
        <v>60193305</v>
      </c>
      <c r="R67" s="67"/>
      <c r="S67" s="23">
        <f t="shared" si="6"/>
        <v>39740000</v>
      </c>
    </row>
    <row r="68" spans="1:19" ht="12" hidden="1">
      <c r="A68" s="15" t="s">
        <v>61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23">
        <f t="shared" si="6"/>
        <v>0</v>
      </c>
    </row>
    <row r="69" spans="1:19" ht="12">
      <c r="A69" s="15" t="s">
        <v>100</v>
      </c>
      <c r="C69" s="67">
        <v>3207362</v>
      </c>
      <c r="D69" s="67"/>
      <c r="E69" s="67">
        <v>0</v>
      </c>
      <c r="F69" s="67"/>
      <c r="G69" s="67">
        <v>79603</v>
      </c>
      <c r="H69" s="67"/>
      <c r="I69" s="67">
        <f>449416+136343</f>
        <v>585759</v>
      </c>
      <c r="J69" s="67"/>
      <c r="K69" s="67">
        <v>48431</v>
      </c>
      <c r="L69" s="67"/>
      <c r="M69" s="67">
        <v>463490</v>
      </c>
      <c r="N69" s="67"/>
      <c r="O69" s="67">
        <v>0</v>
      </c>
      <c r="P69" s="67"/>
      <c r="Q69" s="67">
        <f t="shared" si="1"/>
        <v>4384645</v>
      </c>
      <c r="R69" s="67"/>
      <c r="S69" s="23">
        <f t="shared" si="6"/>
        <v>3872724</v>
      </c>
    </row>
    <row r="70" spans="1:19" ht="12">
      <c r="A70" s="15" t="s">
        <v>63</v>
      </c>
      <c r="C70" s="67">
        <v>17775000</v>
      </c>
      <c r="D70" s="67"/>
      <c r="E70" s="67">
        <v>1307063</v>
      </c>
      <c r="F70" s="67"/>
      <c r="G70" s="67">
        <v>0</v>
      </c>
      <c r="H70" s="67"/>
      <c r="I70" s="67">
        <v>0</v>
      </c>
      <c r="J70" s="67"/>
      <c r="K70" s="67">
        <v>69912</v>
      </c>
      <c r="L70" s="67"/>
      <c r="M70" s="67">
        <v>2315596</v>
      </c>
      <c r="N70" s="67"/>
      <c r="O70" s="67">
        <f>670137+8344360+284814</f>
        <v>9299311</v>
      </c>
      <c r="P70" s="67"/>
      <c r="Q70" s="67">
        <f t="shared" si="1"/>
        <v>30766882</v>
      </c>
      <c r="R70" s="67"/>
      <c r="S70" s="23">
        <f t="shared" si="6"/>
        <v>27074311</v>
      </c>
    </row>
    <row r="71" spans="1:19" ht="12">
      <c r="A71" s="15" t="s">
        <v>64</v>
      </c>
      <c r="C71" s="67">
        <v>1300000</v>
      </c>
      <c r="D71" s="67"/>
      <c r="E71" s="67">
        <v>0</v>
      </c>
      <c r="F71" s="67"/>
      <c r="G71" s="67">
        <v>0</v>
      </c>
      <c r="H71" s="67"/>
      <c r="I71" s="67">
        <v>0</v>
      </c>
      <c r="J71" s="67"/>
      <c r="K71" s="67">
        <v>0</v>
      </c>
      <c r="L71" s="67"/>
      <c r="M71" s="67">
        <v>319193</v>
      </c>
      <c r="N71" s="67"/>
      <c r="O71" s="67">
        <v>0</v>
      </c>
      <c r="P71" s="67"/>
      <c r="Q71" s="67">
        <f t="shared" si="1"/>
        <v>1619193</v>
      </c>
      <c r="R71" s="67"/>
      <c r="S71" s="23">
        <f t="shared" si="6"/>
        <v>1300000</v>
      </c>
    </row>
    <row r="72" spans="1:19" ht="12">
      <c r="A72" s="15" t="s">
        <v>65</v>
      </c>
      <c r="C72" s="67">
        <v>3777000</v>
      </c>
      <c r="D72" s="67"/>
      <c r="E72" s="67">
        <v>6477745</v>
      </c>
      <c r="F72" s="67"/>
      <c r="G72" s="67">
        <v>4645000</v>
      </c>
      <c r="H72" s="67"/>
      <c r="I72" s="67">
        <v>16441709</v>
      </c>
      <c r="J72" s="67"/>
      <c r="K72" s="67">
        <v>14812</v>
      </c>
      <c r="L72" s="67"/>
      <c r="M72" s="67">
        <v>1166539</v>
      </c>
      <c r="N72" s="67"/>
      <c r="O72" s="67">
        <v>334505</v>
      </c>
      <c r="P72" s="67"/>
      <c r="Q72" s="67">
        <f t="shared" si="1"/>
        <v>32857310</v>
      </c>
      <c r="R72" s="67"/>
      <c r="S72" s="23">
        <f t="shared" si="6"/>
        <v>25198214</v>
      </c>
    </row>
    <row r="73" spans="1:19" ht="12" hidden="1">
      <c r="A73" s="15" t="s">
        <v>134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70"/>
      <c r="S73" s="23">
        <f t="shared" si="6"/>
        <v>0</v>
      </c>
    </row>
    <row r="74" spans="1:19" ht="12" hidden="1">
      <c r="A74" s="15" t="s">
        <v>66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70"/>
      <c r="S74" s="23">
        <f t="shared" si="6"/>
        <v>0</v>
      </c>
    </row>
    <row r="75" spans="1:19" s="5" customFormat="1" ht="12">
      <c r="A75" s="5" t="s">
        <v>67</v>
      </c>
      <c r="C75" s="67">
        <v>31888</v>
      </c>
      <c r="D75" s="67"/>
      <c r="E75" s="67">
        <v>143000</v>
      </c>
      <c r="F75" s="67"/>
      <c r="G75" s="67">
        <f>646900+71209+234011+591951+156500+270000</f>
        <v>1970571</v>
      </c>
      <c r="H75" s="67"/>
      <c r="I75" s="67">
        <v>0</v>
      </c>
      <c r="J75" s="67"/>
      <c r="K75" s="67">
        <v>327515</v>
      </c>
      <c r="L75" s="67"/>
      <c r="M75" s="67">
        <v>1070492</v>
      </c>
      <c r="N75" s="67"/>
      <c r="O75" s="67">
        <v>0</v>
      </c>
      <c r="P75" s="67"/>
      <c r="Q75" s="67">
        <f t="shared" si="1"/>
        <v>3543466</v>
      </c>
      <c r="R75" s="67"/>
      <c r="S75" s="69">
        <f t="shared" si="6"/>
        <v>2002459</v>
      </c>
    </row>
    <row r="76" ht="12">
      <c r="Q76" s="16" t="s">
        <v>246</v>
      </c>
    </row>
    <row r="77" spans="3:19" ht="12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23"/>
    </row>
    <row r="78" spans="1:19" s="60" customFormat="1" ht="12">
      <c r="A78" s="60" t="s">
        <v>68</v>
      </c>
      <c r="C78" s="64">
        <f>87375+43875+46374+102864+121875+35000</f>
        <v>437363</v>
      </c>
      <c r="D78" s="64"/>
      <c r="E78" s="64">
        <v>0</v>
      </c>
      <c r="F78" s="64"/>
      <c r="G78" s="64">
        <v>0</v>
      </c>
      <c r="H78" s="64"/>
      <c r="I78" s="64">
        <v>0</v>
      </c>
      <c r="J78" s="64"/>
      <c r="K78" s="64">
        <v>61425</v>
      </c>
      <c r="L78" s="64"/>
      <c r="M78" s="64">
        <v>487875</v>
      </c>
      <c r="N78" s="64"/>
      <c r="O78" s="64">
        <v>0</v>
      </c>
      <c r="P78" s="64"/>
      <c r="Q78" s="64">
        <f>SUM(C78:O78)</f>
        <v>986663</v>
      </c>
      <c r="R78" s="64"/>
      <c r="S78" s="66">
        <f>O78+C78+I78+G78</f>
        <v>437363</v>
      </c>
    </row>
    <row r="79" spans="1:19" s="5" customFormat="1" ht="12">
      <c r="A79" s="5" t="s">
        <v>69</v>
      </c>
      <c r="C79" s="67">
        <v>18639173</v>
      </c>
      <c r="D79" s="67"/>
      <c r="E79" s="67">
        <v>1372221</v>
      </c>
      <c r="F79" s="67"/>
      <c r="G79" s="67">
        <v>0</v>
      </c>
      <c r="H79" s="67"/>
      <c r="I79" s="67">
        <v>317502</v>
      </c>
      <c r="J79" s="67"/>
      <c r="K79" s="67">
        <v>0</v>
      </c>
      <c r="L79" s="67"/>
      <c r="M79" s="67">
        <v>3051063</v>
      </c>
      <c r="N79" s="67"/>
      <c r="O79" s="67">
        <v>0</v>
      </c>
      <c r="P79" s="67"/>
      <c r="Q79" s="67">
        <f aca="true" t="shared" si="7" ref="Q79:Q99">SUM(C79:O79)</f>
        <v>23379959</v>
      </c>
      <c r="R79" s="67"/>
      <c r="S79" s="69">
        <f t="shared" si="6"/>
        <v>18956675</v>
      </c>
    </row>
    <row r="80" spans="1:19" ht="12">
      <c r="A80" s="15" t="s">
        <v>70</v>
      </c>
      <c r="C80" s="67">
        <v>3923437</v>
      </c>
      <c r="D80" s="67"/>
      <c r="E80" s="67">
        <v>0</v>
      </c>
      <c r="F80" s="67"/>
      <c r="G80" s="67">
        <v>120000</v>
      </c>
      <c r="H80" s="67"/>
      <c r="I80" s="67">
        <v>0</v>
      </c>
      <c r="J80" s="67"/>
      <c r="K80" s="67">
        <v>0</v>
      </c>
      <c r="L80" s="67"/>
      <c r="M80" s="67">
        <v>755493</v>
      </c>
      <c r="N80" s="67"/>
      <c r="O80" s="67">
        <v>364566</v>
      </c>
      <c r="P80" s="67"/>
      <c r="Q80" s="67">
        <f t="shared" si="7"/>
        <v>5163496</v>
      </c>
      <c r="R80" s="67"/>
      <c r="S80" s="23">
        <f t="shared" si="6"/>
        <v>4408003</v>
      </c>
    </row>
    <row r="81" spans="1:19" ht="12" hidden="1">
      <c r="A81" s="15" t="s">
        <v>186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23">
        <f>O81+C81+I81+G81</f>
        <v>0</v>
      </c>
    </row>
    <row r="82" spans="1:19" ht="12">
      <c r="A82" s="15" t="s">
        <v>191</v>
      </c>
      <c r="C82" s="67">
        <v>9707804</v>
      </c>
      <c r="D82" s="67"/>
      <c r="E82" s="67">
        <v>11008950</v>
      </c>
      <c r="F82" s="67"/>
      <c r="G82" s="67">
        <v>0</v>
      </c>
      <c r="H82" s="67"/>
      <c r="I82" s="67">
        <v>0</v>
      </c>
      <c r="J82" s="67"/>
      <c r="K82" s="67">
        <v>1664485</v>
      </c>
      <c r="L82" s="67"/>
      <c r="M82" s="67">
        <v>2832667</v>
      </c>
      <c r="N82" s="67"/>
      <c r="O82" s="67">
        <v>0</v>
      </c>
      <c r="P82" s="67"/>
      <c r="Q82" s="67">
        <f t="shared" si="7"/>
        <v>25213906</v>
      </c>
      <c r="R82" s="67"/>
      <c r="S82" s="23">
        <f t="shared" si="6"/>
        <v>9707804</v>
      </c>
    </row>
    <row r="83" spans="1:19" ht="12">
      <c r="A83" s="15" t="s">
        <v>71</v>
      </c>
      <c r="C83" s="67">
        <f>2595000+2240000+1975000</f>
        <v>6810000</v>
      </c>
      <c r="D83" s="67"/>
      <c r="E83" s="67">
        <v>0</v>
      </c>
      <c r="F83" s="67"/>
      <c r="G83" s="67">
        <v>0</v>
      </c>
      <c r="H83" s="67"/>
      <c r="I83" s="67">
        <v>0</v>
      </c>
      <c r="J83" s="67"/>
      <c r="K83" s="67">
        <v>317244</v>
      </c>
      <c r="L83" s="67"/>
      <c r="M83" s="67">
        <v>2253702</v>
      </c>
      <c r="N83" s="67"/>
      <c r="O83" s="67">
        <v>0</v>
      </c>
      <c r="P83" s="67"/>
      <c r="Q83" s="67">
        <f t="shared" si="7"/>
        <v>9380946</v>
      </c>
      <c r="R83" s="67"/>
      <c r="S83" s="23">
        <f t="shared" si="6"/>
        <v>6810000</v>
      </c>
    </row>
    <row r="84" spans="1:19" ht="12">
      <c r="A84" s="15" t="s">
        <v>101</v>
      </c>
      <c r="C84" s="67">
        <v>6135000</v>
      </c>
      <c r="D84" s="67"/>
      <c r="E84" s="67">
        <v>59084</v>
      </c>
      <c r="F84" s="67"/>
      <c r="G84" s="67">
        <v>0</v>
      </c>
      <c r="H84" s="67"/>
      <c r="I84" s="67">
        <f>354408+1543714</f>
        <v>1898122</v>
      </c>
      <c r="J84" s="67"/>
      <c r="K84" s="67">
        <v>6863</v>
      </c>
      <c r="L84" s="67"/>
      <c r="M84" s="67">
        <v>2174586</v>
      </c>
      <c r="N84" s="67"/>
      <c r="O84" s="67">
        <f>159173</f>
        <v>159173</v>
      </c>
      <c r="P84" s="67"/>
      <c r="Q84" s="67">
        <f t="shared" si="7"/>
        <v>10432828</v>
      </c>
      <c r="R84" s="67"/>
      <c r="S84" s="23">
        <f t="shared" si="6"/>
        <v>8192295</v>
      </c>
    </row>
    <row r="85" spans="1:19" ht="12">
      <c r="A85" s="15" t="s">
        <v>73</v>
      </c>
      <c r="C85" s="67">
        <v>8369639</v>
      </c>
      <c r="D85" s="67"/>
      <c r="E85" s="67">
        <v>0</v>
      </c>
      <c r="F85" s="67"/>
      <c r="G85" s="67">
        <v>250000</v>
      </c>
      <c r="H85" s="67"/>
      <c r="I85" s="67">
        <v>72685</v>
      </c>
      <c r="J85" s="67"/>
      <c r="K85" s="67">
        <v>337985</v>
      </c>
      <c r="L85" s="67"/>
      <c r="M85" s="67">
        <v>1797778</v>
      </c>
      <c r="N85" s="67"/>
      <c r="O85" s="67">
        <v>0</v>
      </c>
      <c r="P85" s="67"/>
      <c r="Q85" s="67">
        <f t="shared" si="7"/>
        <v>10828087</v>
      </c>
      <c r="R85" s="67"/>
      <c r="S85" s="23">
        <f t="shared" si="6"/>
        <v>8692324</v>
      </c>
    </row>
    <row r="86" spans="1:19" ht="12">
      <c r="A86" s="15" t="s">
        <v>74</v>
      </c>
      <c r="C86" s="67">
        <v>7090000</v>
      </c>
      <c r="D86" s="67"/>
      <c r="E86" s="67">
        <v>0</v>
      </c>
      <c r="F86" s="67"/>
      <c r="G86" s="67">
        <v>0</v>
      </c>
      <c r="H86" s="67"/>
      <c r="I86" s="67">
        <f>44539+11023</f>
        <v>55562</v>
      </c>
      <c r="J86" s="67"/>
      <c r="K86" s="67">
        <v>0</v>
      </c>
      <c r="L86" s="67"/>
      <c r="M86" s="67">
        <v>1005754</v>
      </c>
      <c r="N86" s="67"/>
      <c r="O86" s="67">
        <v>0</v>
      </c>
      <c r="P86" s="67"/>
      <c r="Q86" s="67">
        <f t="shared" si="7"/>
        <v>8151316</v>
      </c>
      <c r="R86" s="67"/>
      <c r="S86" s="23">
        <f t="shared" si="6"/>
        <v>7145562</v>
      </c>
    </row>
    <row r="87" spans="1:19" ht="12">
      <c r="A87" s="15" t="s">
        <v>75</v>
      </c>
      <c r="C87" s="67">
        <v>2981000</v>
      </c>
      <c r="D87" s="67"/>
      <c r="E87" s="67">
        <v>0</v>
      </c>
      <c r="F87" s="67"/>
      <c r="G87" s="67">
        <v>100000</v>
      </c>
      <c r="H87" s="67"/>
      <c r="I87" s="67">
        <v>43394</v>
      </c>
      <c r="J87" s="67"/>
      <c r="K87" s="67">
        <v>79372</v>
      </c>
      <c r="L87" s="67"/>
      <c r="M87" s="67">
        <v>1157739</v>
      </c>
      <c r="N87" s="67"/>
      <c r="O87" s="67">
        <v>450451</v>
      </c>
      <c r="P87" s="67"/>
      <c r="Q87" s="67">
        <f t="shared" si="7"/>
        <v>4811956</v>
      </c>
      <c r="R87" s="67"/>
      <c r="S87" s="23">
        <f t="shared" si="6"/>
        <v>3574845</v>
      </c>
    </row>
    <row r="88" spans="1:19" ht="12">
      <c r="A88" s="15" t="s">
        <v>76</v>
      </c>
      <c r="C88" s="67">
        <v>3012904</v>
      </c>
      <c r="D88" s="67"/>
      <c r="E88" s="67">
        <v>0</v>
      </c>
      <c r="F88" s="67"/>
      <c r="G88" s="67">
        <v>0</v>
      </c>
      <c r="H88" s="67"/>
      <c r="I88" s="67">
        <v>0</v>
      </c>
      <c r="J88" s="67"/>
      <c r="K88" s="67">
        <v>157369</v>
      </c>
      <c r="L88" s="67"/>
      <c r="M88" s="67">
        <v>6743046</v>
      </c>
      <c r="N88" s="67"/>
      <c r="O88" s="67">
        <v>0</v>
      </c>
      <c r="P88" s="67"/>
      <c r="Q88" s="67">
        <f t="shared" si="7"/>
        <v>9913319</v>
      </c>
      <c r="R88" s="67"/>
      <c r="S88" s="23">
        <f t="shared" si="6"/>
        <v>3012904</v>
      </c>
    </row>
    <row r="89" spans="1:19" ht="12">
      <c r="A89" s="15" t="s">
        <v>77</v>
      </c>
      <c r="C89" s="67">
        <f>69668532</f>
        <v>69668532</v>
      </c>
      <c r="D89" s="67"/>
      <c r="E89" s="67">
        <v>0</v>
      </c>
      <c r="F89" s="67"/>
      <c r="G89" s="67">
        <v>0</v>
      </c>
      <c r="H89" s="67"/>
      <c r="I89" s="67">
        <v>0</v>
      </c>
      <c r="J89" s="67"/>
      <c r="K89" s="67">
        <v>781703</v>
      </c>
      <c r="L89" s="67"/>
      <c r="M89" s="67">
        <v>18904864</v>
      </c>
      <c r="N89" s="67"/>
      <c r="O89" s="67">
        <f>1731922+13460000+1196507+13038680</f>
        <v>29427109</v>
      </c>
      <c r="P89" s="67"/>
      <c r="Q89" s="67">
        <f t="shared" si="7"/>
        <v>118782208</v>
      </c>
      <c r="R89" s="67"/>
      <c r="S89" s="23">
        <f t="shared" si="6"/>
        <v>99095641</v>
      </c>
    </row>
    <row r="90" spans="1:19" ht="12">
      <c r="A90" s="15" t="s">
        <v>78</v>
      </c>
      <c r="C90" s="67">
        <v>2919528</v>
      </c>
      <c r="D90" s="67"/>
      <c r="E90" s="67">
        <v>283015</v>
      </c>
      <c r="F90" s="67"/>
      <c r="G90" s="67">
        <v>8490000</v>
      </c>
      <c r="H90" s="67"/>
      <c r="I90" s="67">
        <f>673495+1656083</f>
        <v>2329578</v>
      </c>
      <c r="J90" s="67"/>
      <c r="K90" s="67">
        <v>313503</v>
      </c>
      <c r="L90" s="67"/>
      <c r="M90" s="67">
        <v>4367732</v>
      </c>
      <c r="N90" s="67"/>
      <c r="O90" s="67">
        <v>0</v>
      </c>
      <c r="P90" s="67"/>
      <c r="Q90" s="67">
        <f t="shared" si="7"/>
        <v>18703356</v>
      </c>
      <c r="R90" s="67"/>
      <c r="S90" s="23">
        <f t="shared" si="6"/>
        <v>13739106</v>
      </c>
    </row>
    <row r="91" spans="1:19" ht="12">
      <c r="A91" s="15" t="s">
        <v>79</v>
      </c>
      <c r="C91" s="67">
        <v>0</v>
      </c>
      <c r="D91" s="67"/>
      <c r="E91" s="67">
        <v>0</v>
      </c>
      <c r="F91" s="67"/>
      <c r="G91" s="67">
        <v>0</v>
      </c>
      <c r="H91" s="67"/>
      <c r="I91" s="67">
        <v>0</v>
      </c>
      <c r="J91" s="67"/>
      <c r="K91" s="67">
        <v>184910</v>
      </c>
      <c r="L91" s="67"/>
      <c r="M91" s="67">
        <v>1289234</v>
      </c>
      <c r="N91" s="67"/>
      <c r="O91" s="67">
        <v>0</v>
      </c>
      <c r="P91" s="67"/>
      <c r="Q91" s="67">
        <f t="shared" si="7"/>
        <v>1474144</v>
      </c>
      <c r="R91" s="67"/>
      <c r="S91" s="23">
        <f t="shared" si="6"/>
        <v>0</v>
      </c>
    </row>
    <row r="92" spans="1:19" ht="12">
      <c r="A92" s="15" t="s">
        <v>80</v>
      </c>
      <c r="C92" s="67">
        <v>9860000</v>
      </c>
      <c r="D92" s="67"/>
      <c r="E92" s="67">
        <v>0</v>
      </c>
      <c r="F92" s="67"/>
      <c r="G92" s="67">
        <v>0</v>
      </c>
      <c r="H92" s="67"/>
      <c r="I92" s="67">
        <v>142395</v>
      </c>
      <c r="J92" s="67"/>
      <c r="K92" s="67">
        <v>0</v>
      </c>
      <c r="L92" s="67"/>
      <c r="M92" s="67">
        <v>516988</v>
      </c>
      <c r="N92" s="67"/>
      <c r="O92" s="67">
        <v>0</v>
      </c>
      <c r="P92" s="67"/>
      <c r="Q92" s="67">
        <f t="shared" si="7"/>
        <v>10519383</v>
      </c>
      <c r="R92" s="67"/>
      <c r="S92" s="16" t="s">
        <v>163</v>
      </c>
    </row>
    <row r="93" spans="1:19" ht="12">
      <c r="A93" s="15" t="s">
        <v>81</v>
      </c>
      <c r="C93" s="67">
        <v>2202404</v>
      </c>
      <c r="D93" s="67"/>
      <c r="E93" s="67">
        <v>667272</v>
      </c>
      <c r="F93" s="67"/>
      <c r="G93" s="67">
        <v>0</v>
      </c>
      <c r="H93" s="67"/>
      <c r="I93" s="67">
        <v>0</v>
      </c>
      <c r="J93" s="67"/>
      <c r="K93" s="67">
        <v>160350</v>
      </c>
      <c r="L93" s="67"/>
      <c r="M93" s="67">
        <v>688310</v>
      </c>
      <c r="N93" s="67"/>
      <c r="O93" s="67">
        <f>341400+191988</f>
        <v>533388</v>
      </c>
      <c r="P93" s="67"/>
      <c r="Q93" s="67">
        <f t="shared" si="7"/>
        <v>4251724</v>
      </c>
      <c r="R93" s="67"/>
      <c r="S93" s="23">
        <f aca="true" t="shared" si="8" ref="S93:S100">O93+C93+I93+G93</f>
        <v>2735792</v>
      </c>
    </row>
    <row r="94" spans="1:19" ht="12">
      <c r="A94" s="15" t="s">
        <v>82</v>
      </c>
      <c r="C94" s="67">
        <f>212182+165468+74307+2000000</f>
        <v>2451957</v>
      </c>
      <c r="D94" s="67"/>
      <c r="E94" s="67">
        <v>0</v>
      </c>
      <c r="F94" s="67"/>
      <c r="G94" s="67">
        <v>0</v>
      </c>
      <c r="H94" s="67"/>
      <c r="I94" s="67">
        <v>0</v>
      </c>
      <c r="J94" s="67"/>
      <c r="K94" s="67">
        <v>0</v>
      </c>
      <c r="L94" s="67"/>
      <c r="M94" s="67">
        <v>272286</v>
      </c>
      <c r="N94" s="67"/>
      <c r="O94" s="67">
        <v>0</v>
      </c>
      <c r="P94" s="67"/>
      <c r="Q94" s="67">
        <f t="shared" si="7"/>
        <v>2724243</v>
      </c>
      <c r="R94" s="67"/>
      <c r="S94" s="23">
        <f t="shared" si="8"/>
        <v>2451957</v>
      </c>
    </row>
    <row r="95" spans="1:19" ht="12">
      <c r="A95" s="15" t="s">
        <v>83</v>
      </c>
      <c r="C95" s="67">
        <v>6840000</v>
      </c>
      <c r="D95" s="67"/>
      <c r="E95" s="67">
        <v>15003000</v>
      </c>
      <c r="F95" s="67"/>
      <c r="G95" s="67">
        <v>0</v>
      </c>
      <c r="H95" s="67"/>
      <c r="I95" s="67">
        <v>6633579</v>
      </c>
      <c r="J95" s="67"/>
      <c r="K95" s="67">
        <v>40645</v>
      </c>
      <c r="L95" s="67"/>
      <c r="M95" s="67">
        <v>3815606</v>
      </c>
      <c r="N95" s="67"/>
      <c r="O95" s="67">
        <v>0</v>
      </c>
      <c r="P95" s="67"/>
      <c r="Q95" s="67">
        <f t="shared" si="7"/>
        <v>32332830</v>
      </c>
      <c r="R95" s="67"/>
      <c r="S95" s="23">
        <f t="shared" si="8"/>
        <v>13473579</v>
      </c>
    </row>
    <row r="96" spans="1:19" ht="12">
      <c r="A96" s="15" t="s">
        <v>84</v>
      </c>
      <c r="C96" s="67">
        <v>3970000</v>
      </c>
      <c r="D96" s="67"/>
      <c r="E96" s="67">
        <v>0</v>
      </c>
      <c r="F96" s="67"/>
      <c r="G96" s="67">
        <v>80164</v>
      </c>
      <c r="H96" s="67"/>
      <c r="I96" s="67">
        <v>0</v>
      </c>
      <c r="J96" s="67"/>
      <c r="K96" s="67">
        <v>70133</v>
      </c>
      <c r="L96" s="67"/>
      <c r="M96" s="67">
        <v>796968</v>
      </c>
      <c r="N96" s="67"/>
      <c r="O96" s="67">
        <v>0</v>
      </c>
      <c r="P96" s="67"/>
      <c r="Q96" s="67">
        <f t="shared" si="7"/>
        <v>4917265</v>
      </c>
      <c r="R96" s="67"/>
      <c r="S96" s="23">
        <f t="shared" si="8"/>
        <v>4050164</v>
      </c>
    </row>
    <row r="97" spans="1:19" ht="12">
      <c r="A97" s="15" t="s">
        <v>85</v>
      </c>
      <c r="C97" s="67">
        <v>12630000</v>
      </c>
      <c r="D97" s="67"/>
      <c r="E97" s="67">
        <v>0</v>
      </c>
      <c r="F97" s="67"/>
      <c r="G97" s="67">
        <v>0</v>
      </c>
      <c r="H97" s="67"/>
      <c r="I97" s="67">
        <v>54448</v>
      </c>
      <c r="J97" s="67"/>
      <c r="K97" s="67">
        <v>460520</v>
      </c>
      <c r="L97" s="67"/>
      <c r="M97" s="67">
        <v>2061856</v>
      </c>
      <c r="N97" s="67"/>
      <c r="O97" s="67">
        <v>0</v>
      </c>
      <c r="P97" s="67"/>
      <c r="Q97" s="67">
        <f t="shared" si="7"/>
        <v>15206824</v>
      </c>
      <c r="R97" s="67"/>
      <c r="S97" s="23">
        <f t="shared" si="8"/>
        <v>12684448</v>
      </c>
    </row>
    <row r="98" spans="1:19" ht="12" hidden="1">
      <c r="A98" s="15" t="s">
        <v>184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23">
        <f t="shared" si="8"/>
        <v>0</v>
      </c>
    </row>
    <row r="99" spans="1:19" ht="12">
      <c r="A99" s="15" t="s">
        <v>86</v>
      </c>
      <c r="C99" s="67">
        <v>14605924</v>
      </c>
      <c r="D99" s="67"/>
      <c r="E99" s="67">
        <v>3004650</v>
      </c>
      <c r="F99" s="67"/>
      <c r="G99" s="67">
        <v>0</v>
      </c>
      <c r="H99" s="67"/>
      <c r="I99" s="67">
        <v>0</v>
      </c>
      <c r="J99" s="67"/>
      <c r="K99" s="67">
        <v>44039</v>
      </c>
      <c r="L99" s="67"/>
      <c r="M99" s="67">
        <v>2784390</v>
      </c>
      <c r="N99" s="67"/>
      <c r="O99" s="67">
        <v>0</v>
      </c>
      <c r="P99" s="67"/>
      <c r="Q99" s="67">
        <f t="shared" si="7"/>
        <v>20439003</v>
      </c>
      <c r="R99" s="67"/>
      <c r="S99" s="23">
        <f t="shared" si="8"/>
        <v>14605924</v>
      </c>
    </row>
    <row r="100" spans="1:19" ht="12" hidden="1">
      <c r="A100" s="15" t="s">
        <v>185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23">
        <f t="shared" si="8"/>
        <v>0</v>
      </c>
    </row>
    <row r="101" spans="3:18" ht="1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3:18" ht="1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3:18" ht="1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3:18" ht="1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3:18" ht="1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</sheetData>
  <printOptions/>
  <pageMargins left="1" right="1" top="0.5" bottom="0.5" header="0" footer="0.25"/>
  <pageSetup firstPageNumber="48" useFirstPageNumber="1" horizontalDpi="600" verticalDpi="600" orientation="portrait" pageOrder="overThenDown" r:id="rId1"/>
  <headerFooter alignWithMargins="0">
    <oddFooter>&amp;C&amp;"Times New Roman,Regular"&amp;11&amp;P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workbookViewId="0" topLeftCell="A1">
      <selection activeCell="I8" sqref="I8"/>
    </sheetView>
  </sheetViews>
  <sheetFormatPr defaultColWidth="9.140625" defaultRowHeight="12.75"/>
  <cols>
    <col min="1" max="1" width="11.7109375" style="2" customWidth="1"/>
    <col min="2" max="2" width="1.7109375" style="2" customWidth="1"/>
    <col min="3" max="3" width="11.7109375" style="5" customWidth="1"/>
    <col min="4" max="4" width="1.7109375" style="5" customWidth="1"/>
    <col min="5" max="5" width="11.7109375" style="5" customWidth="1"/>
    <col min="6" max="6" width="1.7109375" style="5" customWidth="1"/>
    <col min="7" max="7" width="11.7109375" style="5" customWidth="1"/>
    <col min="8" max="8" width="1.7109375" style="5" customWidth="1"/>
    <col min="9" max="9" width="11.7109375" style="5" customWidth="1"/>
    <col min="10" max="10" width="1.7109375" style="5" customWidth="1"/>
    <col min="11" max="12" width="11.7109375" style="5" customWidth="1"/>
    <col min="13" max="13" width="1.7109375" style="5" customWidth="1"/>
    <col min="14" max="14" width="11.7109375" style="5" customWidth="1"/>
    <col min="15" max="15" width="1.7109375" style="5" customWidth="1"/>
    <col min="16" max="16" width="11.7109375" style="5" customWidth="1"/>
    <col min="17" max="17" width="1.7109375" style="5" customWidth="1"/>
    <col min="18" max="18" width="11.7109375" style="5" customWidth="1"/>
    <col min="19" max="19" width="1.7109375" style="0" customWidth="1"/>
    <col min="20" max="20" width="11.7109375" style="5" customWidth="1"/>
    <col min="21" max="21" width="1.7109375" style="5" customWidth="1"/>
    <col min="22" max="22" width="11.7109375" style="5" hidden="1" customWidth="1"/>
    <col min="23" max="23" width="1.7109375" style="5" hidden="1" customWidth="1"/>
    <col min="24" max="24" width="11.7109375" style="5" customWidth="1"/>
    <col min="25" max="25" width="9.140625" style="2" customWidth="1"/>
    <col min="26" max="26" width="11.7109375" style="5" customWidth="1"/>
    <col min="27" max="27" width="9.140625" style="2" customWidth="1"/>
    <col min="28" max="28" width="11.7109375" style="2" customWidth="1"/>
    <col min="29" max="29" width="9.140625" style="2" customWidth="1"/>
    <col min="30" max="30" width="11.7109375" style="2" customWidth="1"/>
    <col min="31" max="31" width="9.140625" style="2" customWidth="1"/>
    <col min="32" max="32" width="11.7109375" style="2" customWidth="1"/>
    <col min="33" max="16384" width="9.140625" style="2" customWidth="1"/>
  </cols>
  <sheetData>
    <row r="1" ht="12.75">
      <c r="A1" s="1" t="s">
        <v>259</v>
      </c>
    </row>
    <row r="2" ht="12.75">
      <c r="A2" s="1" t="s">
        <v>154</v>
      </c>
    </row>
    <row r="4" ht="12.75">
      <c r="A4" s="1" t="s">
        <v>243</v>
      </c>
    </row>
    <row r="5" ht="12.75">
      <c r="A5" s="1"/>
    </row>
    <row r="6" spans="1:20" ht="12.75">
      <c r="A6" s="1"/>
      <c r="T6" s="49"/>
    </row>
    <row r="7" spans="3:18" ht="12.75">
      <c r="C7" s="33" t="s">
        <v>148</v>
      </c>
      <c r="D7" s="33"/>
      <c r="E7" s="33"/>
      <c r="F7" s="33"/>
      <c r="G7" s="33"/>
      <c r="I7" s="33" t="s">
        <v>244</v>
      </c>
      <c r="J7" s="33"/>
      <c r="K7" s="33"/>
      <c r="L7" s="33"/>
      <c r="M7" s="33"/>
      <c r="N7" s="33"/>
      <c r="O7" s="33"/>
      <c r="P7" s="33"/>
      <c r="Q7" s="33"/>
      <c r="R7" s="33"/>
    </row>
    <row r="8" spans="5:24" ht="12.75">
      <c r="E8" s="35" t="s">
        <v>103</v>
      </c>
      <c r="T8" s="34"/>
      <c r="X8" s="36" t="s">
        <v>240</v>
      </c>
    </row>
    <row r="9" spans="5:24" ht="12.75">
      <c r="E9" s="35" t="s">
        <v>237</v>
      </c>
      <c r="I9" s="2"/>
      <c r="J9" s="2"/>
      <c r="K9" s="2"/>
      <c r="L9" s="2"/>
      <c r="M9" s="2"/>
      <c r="N9" s="2"/>
      <c r="O9" s="2"/>
      <c r="P9" s="2"/>
      <c r="Q9" s="2"/>
      <c r="R9" s="2"/>
      <c r="T9" s="2"/>
      <c r="U9" s="49"/>
      <c r="V9" s="35" t="s">
        <v>3</v>
      </c>
      <c r="W9" s="49"/>
      <c r="X9" s="35" t="s">
        <v>241</v>
      </c>
    </row>
    <row r="10" spans="1:24" ht="12.75">
      <c r="A10" s="3"/>
      <c r="B10" s="3"/>
      <c r="C10" s="35" t="s">
        <v>0</v>
      </c>
      <c r="D10" s="35"/>
      <c r="E10" s="35" t="s">
        <v>159</v>
      </c>
      <c r="F10" s="35"/>
      <c r="G10" s="35" t="s">
        <v>90</v>
      </c>
      <c r="I10" s="36" t="s">
        <v>149</v>
      </c>
      <c r="J10" s="36"/>
      <c r="K10" s="36" t="s">
        <v>164</v>
      </c>
      <c r="L10" s="36" t="s">
        <v>107</v>
      </c>
      <c r="M10" s="36"/>
      <c r="N10" s="36" t="s">
        <v>147</v>
      </c>
      <c r="O10" s="36"/>
      <c r="P10" s="35" t="s">
        <v>150</v>
      </c>
      <c r="Q10" s="35"/>
      <c r="T10" s="51" t="s">
        <v>223</v>
      </c>
      <c r="U10" s="35"/>
      <c r="V10" s="35" t="s">
        <v>105</v>
      </c>
      <c r="W10" s="35"/>
      <c r="X10" s="35" t="s">
        <v>258</v>
      </c>
    </row>
    <row r="11" spans="1:24" ht="12.75">
      <c r="A11" s="4" t="s">
        <v>4</v>
      </c>
      <c r="B11" s="47"/>
      <c r="C11" s="41" t="s">
        <v>7</v>
      </c>
      <c r="E11" s="41" t="s">
        <v>222</v>
      </c>
      <c r="G11" s="41" t="s">
        <v>152</v>
      </c>
      <c r="I11" s="41" t="s">
        <v>5</v>
      </c>
      <c r="K11" s="41" t="s">
        <v>5</v>
      </c>
      <c r="L11" s="41" t="s">
        <v>5</v>
      </c>
      <c r="N11" s="41" t="s">
        <v>152</v>
      </c>
      <c r="P11" s="48" t="s">
        <v>153</v>
      </c>
      <c r="R11" s="48" t="s">
        <v>107</v>
      </c>
      <c r="T11" s="83" t="s">
        <v>216</v>
      </c>
      <c r="V11" s="41" t="s">
        <v>11</v>
      </c>
      <c r="X11" s="48" t="s">
        <v>112</v>
      </c>
    </row>
    <row r="12" spans="1:24" ht="12.75">
      <c r="A12" s="47"/>
      <c r="B12" s="47"/>
      <c r="C12" s="36"/>
      <c r="E12" s="36"/>
      <c r="G12" s="36"/>
      <c r="I12" s="36"/>
      <c r="K12" s="36"/>
      <c r="L12" s="36"/>
      <c r="N12" s="36"/>
      <c r="P12" s="51"/>
      <c r="R12" s="51"/>
      <c r="T12" s="51"/>
      <c r="X12" s="51"/>
    </row>
    <row r="13" spans="1:24" ht="12.75" hidden="1">
      <c r="A13" s="13" t="s">
        <v>12</v>
      </c>
      <c r="B13" s="13"/>
      <c r="C13" s="5" t="s">
        <v>190</v>
      </c>
      <c r="E13" s="5" t="s">
        <v>190</v>
      </c>
      <c r="G13" s="5" t="s">
        <v>190</v>
      </c>
      <c r="I13" s="5" t="s">
        <v>190</v>
      </c>
      <c r="K13" s="5" t="s">
        <v>190</v>
      </c>
      <c r="L13" s="5" t="s">
        <v>190</v>
      </c>
      <c r="N13" s="5" t="s">
        <v>190</v>
      </c>
      <c r="P13" s="5" t="s">
        <v>190</v>
      </c>
      <c r="R13" s="5" t="s">
        <v>190</v>
      </c>
      <c r="T13" s="5" t="s">
        <v>190</v>
      </c>
      <c r="X13" s="5" t="s">
        <v>190</v>
      </c>
    </row>
    <row r="14" spans="1:24" ht="12.75" hidden="1">
      <c r="A14" s="13" t="s">
        <v>13</v>
      </c>
      <c r="B14" s="13"/>
      <c r="C14" s="5" t="s">
        <v>190</v>
      </c>
      <c r="E14" s="5" t="s">
        <v>190</v>
      </c>
      <c r="G14" s="5" t="s">
        <v>190</v>
      </c>
      <c r="I14" s="5" t="s">
        <v>190</v>
      </c>
      <c r="K14" s="5" t="s">
        <v>190</v>
      </c>
      <c r="L14" s="5" t="s">
        <v>190</v>
      </c>
      <c r="N14" s="5" t="s">
        <v>190</v>
      </c>
      <c r="P14" s="5" t="s">
        <v>190</v>
      </c>
      <c r="R14" s="5" t="s">
        <v>190</v>
      </c>
      <c r="T14" s="5" t="s">
        <v>190</v>
      </c>
      <c r="X14" s="5" t="s">
        <v>190</v>
      </c>
    </row>
    <row r="15" spans="1:24" ht="12.75" hidden="1">
      <c r="A15" s="13" t="s">
        <v>14</v>
      </c>
      <c r="B15" s="13"/>
      <c r="C15" s="5" t="s">
        <v>190</v>
      </c>
      <c r="E15" s="5" t="s">
        <v>190</v>
      </c>
      <c r="G15" s="5" t="s">
        <v>190</v>
      </c>
      <c r="I15" s="5" t="s">
        <v>190</v>
      </c>
      <c r="K15" s="5" t="s">
        <v>190</v>
      </c>
      <c r="L15" s="5" t="s">
        <v>190</v>
      </c>
      <c r="N15" s="5" t="s">
        <v>190</v>
      </c>
      <c r="P15" s="5" t="s">
        <v>190</v>
      </c>
      <c r="R15" s="5" t="s">
        <v>190</v>
      </c>
      <c r="T15" s="5" t="s">
        <v>190</v>
      </c>
      <c r="X15" s="5" t="s">
        <v>190</v>
      </c>
    </row>
    <row r="16" spans="1:24" ht="12.75" hidden="1">
      <c r="A16" s="13" t="s">
        <v>15</v>
      </c>
      <c r="B16" s="13"/>
      <c r="C16" s="5" t="s">
        <v>190</v>
      </c>
      <c r="E16" s="5" t="s">
        <v>190</v>
      </c>
      <c r="G16" s="5" t="s">
        <v>190</v>
      </c>
      <c r="I16" s="5" t="s">
        <v>190</v>
      </c>
      <c r="K16" s="5" t="s">
        <v>190</v>
      </c>
      <c r="L16" s="5" t="s">
        <v>190</v>
      </c>
      <c r="N16" s="5" t="s">
        <v>190</v>
      </c>
      <c r="P16" s="5" t="s">
        <v>190</v>
      </c>
      <c r="R16" s="5" t="s">
        <v>190</v>
      </c>
      <c r="T16" s="5" t="s">
        <v>190</v>
      </c>
      <c r="X16" s="5" t="s">
        <v>190</v>
      </c>
    </row>
    <row r="17" spans="1:24" ht="12.75" hidden="1">
      <c r="A17" s="13" t="s">
        <v>16</v>
      </c>
      <c r="B17" s="13"/>
      <c r="C17" s="5" t="s">
        <v>190</v>
      </c>
      <c r="E17" s="5" t="s">
        <v>190</v>
      </c>
      <c r="G17" s="5" t="s">
        <v>190</v>
      </c>
      <c r="I17" s="5" t="s">
        <v>190</v>
      </c>
      <c r="K17" s="5" t="s">
        <v>190</v>
      </c>
      <c r="L17" s="5" t="s">
        <v>190</v>
      </c>
      <c r="N17" s="5" t="s">
        <v>190</v>
      </c>
      <c r="P17" s="5" t="s">
        <v>190</v>
      </c>
      <c r="R17" s="5" t="s">
        <v>190</v>
      </c>
      <c r="T17" s="5" t="s">
        <v>190</v>
      </c>
      <c r="X17" s="5" t="s">
        <v>190</v>
      </c>
    </row>
    <row r="18" spans="1:24" ht="12.75" hidden="1">
      <c r="A18" s="13" t="s">
        <v>17</v>
      </c>
      <c r="B18" s="13"/>
      <c r="C18" s="5" t="s">
        <v>190</v>
      </c>
      <c r="E18" s="5" t="s">
        <v>190</v>
      </c>
      <c r="G18" s="5" t="s">
        <v>190</v>
      </c>
      <c r="I18" s="5" t="s">
        <v>190</v>
      </c>
      <c r="K18" s="5" t="s">
        <v>190</v>
      </c>
      <c r="L18" s="5" t="s">
        <v>190</v>
      </c>
      <c r="N18" s="5" t="s">
        <v>190</v>
      </c>
      <c r="P18" s="5" t="s">
        <v>190</v>
      </c>
      <c r="R18" s="5" t="s">
        <v>190</v>
      </c>
      <c r="T18" s="5" t="s">
        <v>190</v>
      </c>
      <c r="X18" s="5" t="s">
        <v>190</v>
      </c>
    </row>
    <row r="19" spans="1:24" ht="12.75" hidden="1">
      <c r="A19" s="13" t="s">
        <v>18</v>
      </c>
      <c r="B19" s="13"/>
      <c r="C19" s="5" t="s">
        <v>190</v>
      </c>
      <c r="E19" s="5" t="s">
        <v>190</v>
      </c>
      <c r="G19" s="5" t="s">
        <v>190</v>
      </c>
      <c r="I19" s="5" t="s">
        <v>190</v>
      </c>
      <c r="K19" s="5" t="s">
        <v>190</v>
      </c>
      <c r="L19" s="5" t="s">
        <v>190</v>
      </c>
      <c r="N19" s="5" t="s">
        <v>190</v>
      </c>
      <c r="P19" s="5" t="s">
        <v>190</v>
      </c>
      <c r="R19" s="5" t="s">
        <v>190</v>
      </c>
      <c r="T19" s="5" t="s">
        <v>190</v>
      </c>
      <c r="X19" s="5" t="s">
        <v>190</v>
      </c>
    </row>
    <row r="20" spans="1:24" ht="12.75" hidden="1">
      <c r="A20" s="13" t="s">
        <v>135</v>
      </c>
      <c r="B20" s="13"/>
      <c r="C20" s="5" t="s">
        <v>190</v>
      </c>
      <c r="E20" s="5" t="s">
        <v>190</v>
      </c>
      <c r="G20" s="5" t="s">
        <v>190</v>
      </c>
      <c r="I20" s="5" t="s">
        <v>190</v>
      </c>
      <c r="K20" s="5" t="s">
        <v>190</v>
      </c>
      <c r="L20" s="5" t="s">
        <v>190</v>
      </c>
      <c r="N20" s="5" t="s">
        <v>190</v>
      </c>
      <c r="P20" s="5" t="s">
        <v>190</v>
      </c>
      <c r="R20" s="5" t="s">
        <v>190</v>
      </c>
      <c r="T20" s="5" t="s">
        <v>190</v>
      </c>
      <c r="X20" s="5" t="s">
        <v>190</v>
      </c>
    </row>
    <row r="21" spans="1:24" ht="12.75">
      <c r="A21" s="13" t="s">
        <v>19</v>
      </c>
      <c r="B21" s="13"/>
      <c r="C21" s="60">
        <v>27540280</v>
      </c>
      <c r="D21" s="60"/>
      <c r="E21" s="60">
        <v>83874604</v>
      </c>
      <c r="F21" s="60"/>
      <c r="G21" s="60">
        <v>24079550</v>
      </c>
      <c r="H21" s="60"/>
      <c r="I21" s="60">
        <f>9571297+14232049+7804510+1869810+7259359</f>
        <v>40737025</v>
      </c>
      <c r="J21" s="60"/>
      <c r="K21" s="60">
        <v>16642460</v>
      </c>
      <c r="L21" s="60">
        <v>0</v>
      </c>
      <c r="M21" s="60"/>
      <c r="N21" s="60">
        <v>10072833</v>
      </c>
      <c r="O21" s="60"/>
      <c r="P21" s="60">
        <f>4726714-241646</f>
        <v>4485068</v>
      </c>
      <c r="Q21" s="60"/>
      <c r="R21" s="60">
        <v>1061413</v>
      </c>
      <c r="T21" s="60">
        <v>0</v>
      </c>
      <c r="U21" s="60"/>
      <c r="V21" s="60">
        <f>SUM(I21:T21)</f>
        <v>72998799</v>
      </c>
      <c r="W21" s="60"/>
      <c r="X21" s="60">
        <f>SUM(B21:U21)</f>
        <v>208493233</v>
      </c>
    </row>
    <row r="22" spans="1:24" ht="12.75" hidden="1">
      <c r="A22" s="13" t="s">
        <v>20</v>
      </c>
      <c r="B22" s="13"/>
      <c r="C22" s="5" t="s">
        <v>190</v>
      </c>
      <c r="E22" s="5" t="s">
        <v>190</v>
      </c>
      <c r="G22" s="5" t="s">
        <v>190</v>
      </c>
      <c r="I22" s="5" t="s">
        <v>190</v>
      </c>
      <c r="K22" s="5" t="s">
        <v>190</v>
      </c>
      <c r="L22" s="5" t="s">
        <v>190</v>
      </c>
      <c r="N22" s="5" t="s">
        <v>190</v>
      </c>
      <c r="P22" s="5" t="s">
        <v>190</v>
      </c>
      <c r="R22" s="5" t="s">
        <v>190</v>
      </c>
      <c r="T22" s="5" t="s">
        <v>190</v>
      </c>
      <c r="X22" s="5" t="s">
        <v>190</v>
      </c>
    </row>
    <row r="23" spans="1:24" ht="12.75" hidden="1">
      <c r="A23" s="13" t="s">
        <v>177</v>
      </c>
      <c r="B23" s="13"/>
      <c r="C23" s="5" t="s">
        <v>190</v>
      </c>
      <c r="E23" s="5" t="s">
        <v>190</v>
      </c>
      <c r="G23" s="5" t="s">
        <v>190</v>
      </c>
      <c r="I23" s="5" t="s">
        <v>190</v>
      </c>
      <c r="K23" s="5" t="s">
        <v>190</v>
      </c>
      <c r="L23" s="5" t="s">
        <v>190</v>
      </c>
      <c r="N23" s="5" t="s">
        <v>190</v>
      </c>
      <c r="P23" s="5" t="s">
        <v>190</v>
      </c>
      <c r="R23" s="5" t="s">
        <v>190</v>
      </c>
      <c r="T23" s="5" t="s">
        <v>190</v>
      </c>
      <c r="X23" s="5" t="s">
        <v>190</v>
      </c>
    </row>
    <row r="24" spans="1:24" ht="12.75" hidden="1">
      <c r="A24" s="13" t="s">
        <v>21</v>
      </c>
      <c r="B24" s="13"/>
      <c r="C24" s="5" t="s">
        <v>190</v>
      </c>
      <c r="E24" s="5" t="s">
        <v>190</v>
      </c>
      <c r="G24" s="5" t="s">
        <v>190</v>
      </c>
      <c r="I24" s="5" t="s">
        <v>190</v>
      </c>
      <c r="K24" s="5" t="s">
        <v>190</v>
      </c>
      <c r="L24" s="5" t="s">
        <v>190</v>
      </c>
      <c r="N24" s="5" t="s">
        <v>190</v>
      </c>
      <c r="P24" s="5" t="s">
        <v>190</v>
      </c>
      <c r="R24" s="5" t="s">
        <v>190</v>
      </c>
      <c r="T24" s="5" t="s">
        <v>190</v>
      </c>
      <c r="X24" s="5" t="s">
        <v>190</v>
      </c>
    </row>
    <row r="25" spans="1:24" ht="12.75">
      <c r="A25" s="13" t="s">
        <v>194</v>
      </c>
      <c r="B25" s="13"/>
      <c r="C25" s="5">
        <v>21418509</v>
      </c>
      <c r="E25" s="5">
        <v>30834937</v>
      </c>
      <c r="G25" s="5">
        <v>5459628</v>
      </c>
      <c r="I25" s="5">
        <f>8264880+5750351+2963493</f>
        <v>16978724</v>
      </c>
      <c r="K25" s="5">
        <v>19513566</v>
      </c>
      <c r="L25" s="5">
        <v>323423</v>
      </c>
      <c r="N25" s="5">
        <v>5858652</v>
      </c>
      <c r="P25" s="5">
        <v>4156791</v>
      </c>
      <c r="R25" s="5">
        <v>1213288</v>
      </c>
      <c r="T25" s="5">
        <v>0</v>
      </c>
      <c r="V25" s="5">
        <f>SUM(I25:T25)</f>
        <v>48044444</v>
      </c>
      <c r="X25" s="5">
        <f>SUM(B25:U25)</f>
        <v>105757518</v>
      </c>
    </row>
    <row r="26" spans="1:24" ht="12.75" hidden="1">
      <c r="A26" s="13" t="s">
        <v>23</v>
      </c>
      <c r="B26" s="13"/>
      <c r="C26" s="5" t="s">
        <v>190</v>
      </c>
      <c r="E26" s="5" t="s">
        <v>190</v>
      </c>
      <c r="G26" s="5" t="s">
        <v>190</v>
      </c>
      <c r="I26" s="5" t="s">
        <v>190</v>
      </c>
      <c r="K26" s="5" t="s">
        <v>190</v>
      </c>
      <c r="L26" s="5" t="s">
        <v>190</v>
      </c>
      <c r="N26" s="5" t="s">
        <v>190</v>
      </c>
      <c r="P26" s="5" t="s">
        <v>190</v>
      </c>
      <c r="R26" s="5" t="s">
        <v>190</v>
      </c>
      <c r="T26" s="5" t="s">
        <v>190</v>
      </c>
      <c r="X26" s="5" t="s">
        <v>190</v>
      </c>
    </row>
    <row r="27" spans="1:24" ht="12.75" hidden="1">
      <c r="A27" s="13" t="s">
        <v>24</v>
      </c>
      <c r="B27" s="13"/>
      <c r="C27" s="5" t="s">
        <v>190</v>
      </c>
      <c r="E27" s="5" t="s">
        <v>190</v>
      </c>
      <c r="G27" s="5" t="s">
        <v>190</v>
      </c>
      <c r="I27" s="5" t="s">
        <v>190</v>
      </c>
      <c r="K27" s="5" t="s">
        <v>190</v>
      </c>
      <c r="L27" s="5" t="s">
        <v>190</v>
      </c>
      <c r="N27" s="5" t="s">
        <v>190</v>
      </c>
      <c r="P27" s="5" t="s">
        <v>190</v>
      </c>
      <c r="R27" s="5" t="s">
        <v>190</v>
      </c>
      <c r="T27" s="5" t="s">
        <v>190</v>
      </c>
      <c r="X27" s="5" t="s">
        <v>190</v>
      </c>
    </row>
    <row r="28" spans="1:24" ht="12.75" hidden="1">
      <c r="A28" s="13" t="s">
        <v>25</v>
      </c>
      <c r="B28" s="13"/>
      <c r="X28" s="5">
        <f>SUM(I28:T28)</f>
        <v>0</v>
      </c>
    </row>
    <row r="29" spans="1:24" ht="12.75">
      <c r="A29" s="13" t="s">
        <v>192</v>
      </c>
      <c r="B29" s="13"/>
      <c r="C29" s="5">
        <v>5492511</v>
      </c>
      <c r="E29" s="5">
        <v>10888638</v>
      </c>
      <c r="G29" s="5">
        <v>810342</v>
      </c>
      <c r="I29" s="5">
        <f>1298814+446143+1586094+242425+484187+342671</f>
        <v>4400334</v>
      </c>
      <c r="K29" s="5">
        <f>3097790+1547750</f>
        <v>4645540</v>
      </c>
      <c r="L29" s="5">
        <v>0</v>
      </c>
      <c r="N29" s="5">
        <v>1627684</v>
      </c>
      <c r="P29" s="5">
        <v>442860</v>
      </c>
      <c r="R29" s="5">
        <v>1367027</v>
      </c>
      <c r="T29" s="5">
        <v>0</v>
      </c>
      <c r="V29" s="5">
        <f aca="true" t="shared" si="0" ref="V29:V60">SUM(I29:T29)</f>
        <v>12483445</v>
      </c>
      <c r="X29" s="5">
        <f aca="true" t="shared" si="1" ref="X29:X92">SUM(B29:U29)</f>
        <v>29674936</v>
      </c>
    </row>
    <row r="30" spans="1:24" ht="12.75">
      <c r="A30" s="13" t="s">
        <v>26</v>
      </c>
      <c r="B30" s="13"/>
      <c r="C30" s="5">
        <v>85588000</v>
      </c>
      <c r="E30" s="5">
        <v>541488000</v>
      </c>
      <c r="G30" s="5">
        <v>30090000</v>
      </c>
      <c r="I30" s="5">
        <v>259892000</v>
      </c>
      <c r="K30" s="5">
        <v>157192000</v>
      </c>
      <c r="L30" s="5">
        <v>28976000</v>
      </c>
      <c r="N30" s="5">
        <v>34869000</v>
      </c>
      <c r="P30" s="5">
        <v>25107000</v>
      </c>
      <c r="R30" s="5">
        <f>43709000+16939000</f>
        <v>60648000</v>
      </c>
      <c r="T30" s="5">
        <v>0</v>
      </c>
      <c r="V30" s="5">
        <f t="shared" si="0"/>
        <v>566684000</v>
      </c>
      <c r="X30" s="5">
        <f t="shared" si="1"/>
        <v>1223850000</v>
      </c>
    </row>
    <row r="31" spans="1:24" ht="12.75">
      <c r="A31" s="13" t="s">
        <v>27</v>
      </c>
      <c r="B31" s="13"/>
      <c r="C31" s="5">
        <v>3507142</v>
      </c>
      <c r="E31" s="5">
        <v>6197462</v>
      </c>
      <c r="G31" s="5">
        <v>0</v>
      </c>
      <c r="I31" s="5">
        <f>2362151+2099288</f>
        <v>4461439</v>
      </c>
      <c r="K31" s="5">
        <v>4281464</v>
      </c>
      <c r="L31" s="5">
        <v>0</v>
      </c>
      <c r="N31" s="5">
        <v>4864809</v>
      </c>
      <c r="P31" s="5">
        <v>696552</v>
      </c>
      <c r="R31" s="5">
        <f>1095147-3551</f>
        <v>1091596</v>
      </c>
      <c r="T31" s="5">
        <v>0</v>
      </c>
      <c r="V31" s="5">
        <f t="shared" si="0"/>
        <v>15395860</v>
      </c>
      <c r="X31" s="5">
        <f t="shared" si="1"/>
        <v>25100464</v>
      </c>
    </row>
    <row r="32" spans="1:24" ht="12.75" hidden="1">
      <c r="A32" s="13" t="s">
        <v>28</v>
      </c>
      <c r="B32" s="13"/>
      <c r="V32" s="5">
        <f t="shared" si="0"/>
        <v>0</v>
      </c>
      <c r="X32" s="5">
        <f t="shared" si="1"/>
        <v>0</v>
      </c>
    </row>
    <row r="33" spans="1:24" ht="12.75">
      <c r="A33" s="13" t="s">
        <v>29</v>
      </c>
      <c r="B33" s="13"/>
      <c r="C33" s="5">
        <v>17073769</v>
      </c>
      <c r="E33" s="5">
        <v>17781672</v>
      </c>
      <c r="G33" s="5">
        <v>124285</v>
      </c>
      <c r="I33" s="5">
        <f>3443784+882309+7020498+341988+14826</f>
        <v>11703405</v>
      </c>
      <c r="K33" s="5">
        <f>15641752+10427834</f>
        <v>26069586</v>
      </c>
      <c r="L33" s="5">
        <v>0</v>
      </c>
      <c r="N33" s="5">
        <v>2865038</v>
      </c>
      <c r="P33" s="5">
        <v>2745538</v>
      </c>
      <c r="R33" s="5">
        <v>2150082</v>
      </c>
      <c r="T33" s="5">
        <v>0</v>
      </c>
      <c r="V33" s="5">
        <f t="shared" si="0"/>
        <v>45533649</v>
      </c>
      <c r="X33" s="5">
        <f t="shared" si="1"/>
        <v>80513375</v>
      </c>
    </row>
    <row r="34" spans="1:24" ht="12.75" hidden="1">
      <c r="A34" s="13" t="s">
        <v>30</v>
      </c>
      <c r="B34" s="13"/>
      <c r="C34" s="5" t="s">
        <v>190</v>
      </c>
      <c r="E34" s="5" t="s">
        <v>190</v>
      </c>
      <c r="G34" s="5" t="s">
        <v>190</v>
      </c>
      <c r="I34" s="5" t="s">
        <v>190</v>
      </c>
      <c r="K34" s="5" t="s">
        <v>190</v>
      </c>
      <c r="L34" s="5" t="s">
        <v>190</v>
      </c>
      <c r="N34" s="5" t="s">
        <v>190</v>
      </c>
      <c r="P34" s="5" t="s">
        <v>190</v>
      </c>
      <c r="R34" s="5" t="s">
        <v>190</v>
      </c>
      <c r="T34" s="5" t="s">
        <v>190</v>
      </c>
      <c r="V34" s="5">
        <f t="shared" si="0"/>
        <v>0</v>
      </c>
      <c r="X34" s="5">
        <f t="shared" si="1"/>
        <v>0</v>
      </c>
    </row>
    <row r="35" spans="1:24" ht="12.75" hidden="1">
      <c r="A35" s="13" t="s">
        <v>31</v>
      </c>
      <c r="B35" s="13"/>
      <c r="C35" s="5" t="s">
        <v>190</v>
      </c>
      <c r="E35" s="5" t="s">
        <v>190</v>
      </c>
      <c r="G35" s="5" t="s">
        <v>190</v>
      </c>
      <c r="I35" s="5" t="s">
        <v>190</v>
      </c>
      <c r="K35" s="5" t="s">
        <v>190</v>
      </c>
      <c r="L35" s="5" t="s">
        <v>190</v>
      </c>
      <c r="N35" s="5" t="s">
        <v>190</v>
      </c>
      <c r="P35" s="5" t="s">
        <v>190</v>
      </c>
      <c r="R35" s="5" t="s">
        <v>190</v>
      </c>
      <c r="T35" s="5" t="s">
        <v>190</v>
      </c>
      <c r="V35" s="5">
        <f t="shared" si="0"/>
        <v>0</v>
      </c>
      <c r="X35" s="5">
        <f t="shared" si="1"/>
        <v>0</v>
      </c>
    </row>
    <row r="36" spans="1:24" ht="12.75" hidden="1">
      <c r="A36" s="13" t="s">
        <v>32</v>
      </c>
      <c r="B36" s="13"/>
      <c r="C36" s="5" t="s">
        <v>190</v>
      </c>
      <c r="E36" s="5" t="s">
        <v>190</v>
      </c>
      <c r="G36" s="5" t="s">
        <v>190</v>
      </c>
      <c r="I36" s="5" t="s">
        <v>190</v>
      </c>
      <c r="K36" s="5" t="s">
        <v>190</v>
      </c>
      <c r="L36" s="5" t="s">
        <v>190</v>
      </c>
      <c r="N36" s="5" t="s">
        <v>190</v>
      </c>
      <c r="P36" s="5" t="s">
        <v>190</v>
      </c>
      <c r="R36" s="5" t="s">
        <v>190</v>
      </c>
      <c r="T36" s="5" t="s">
        <v>190</v>
      </c>
      <c r="V36" s="5">
        <f t="shared" si="0"/>
        <v>0</v>
      </c>
      <c r="X36" s="5">
        <f t="shared" si="1"/>
        <v>0</v>
      </c>
    </row>
    <row r="37" spans="1:26" s="90" customFormat="1" ht="12">
      <c r="A37" s="54" t="s">
        <v>33</v>
      </c>
      <c r="B37" s="54"/>
      <c r="C37" s="55">
        <v>93261000</v>
      </c>
      <c r="D37" s="55"/>
      <c r="E37" s="55">
        <v>366968000</v>
      </c>
      <c r="F37" s="55"/>
      <c r="G37" s="55">
        <v>10891000</v>
      </c>
      <c r="H37" s="55"/>
      <c r="I37" s="55">
        <v>289557000</v>
      </c>
      <c r="J37" s="55"/>
      <c r="K37" s="55">
        <v>79423000</v>
      </c>
      <c r="L37" s="55">
        <v>0</v>
      </c>
      <c r="M37" s="55"/>
      <c r="N37" s="55">
        <v>62398000</v>
      </c>
      <c r="O37" s="55"/>
      <c r="P37" s="55">
        <v>25438000</v>
      </c>
      <c r="Q37" s="55"/>
      <c r="R37" s="55">
        <f>-684000-41363000</f>
        <v>-42047000</v>
      </c>
      <c r="T37" s="55">
        <v>0</v>
      </c>
      <c r="U37" s="55"/>
      <c r="V37" s="55">
        <f t="shared" si="0"/>
        <v>414769000</v>
      </c>
      <c r="W37" s="55"/>
      <c r="X37" s="55">
        <f t="shared" si="1"/>
        <v>885889000</v>
      </c>
      <c r="Z37" s="55"/>
    </row>
    <row r="38" spans="1:24" ht="12.75" hidden="1">
      <c r="A38" s="13" t="s">
        <v>34</v>
      </c>
      <c r="B38" s="13"/>
      <c r="C38" s="5" t="s">
        <v>190</v>
      </c>
      <c r="E38" s="5" t="s">
        <v>190</v>
      </c>
      <c r="G38" s="5" t="s">
        <v>190</v>
      </c>
      <c r="I38" s="5" t="s">
        <v>190</v>
      </c>
      <c r="K38" s="5" t="s">
        <v>190</v>
      </c>
      <c r="L38" s="5" t="s">
        <v>190</v>
      </c>
      <c r="N38" s="5" t="s">
        <v>190</v>
      </c>
      <c r="P38" s="5" t="s">
        <v>190</v>
      </c>
      <c r="R38" s="5" t="s">
        <v>190</v>
      </c>
      <c r="T38" s="5" t="s">
        <v>190</v>
      </c>
      <c r="V38" s="5">
        <f t="shared" si="0"/>
        <v>0</v>
      </c>
      <c r="X38" s="5">
        <f t="shared" si="1"/>
        <v>0</v>
      </c>
    </row>
    <row r="39" spans="1:24" ht="12.75" hidden="1">
      <c r="A39" s="13" t="s">
        <v>35</v>
      </c>
      <c r="B39" s="13"/>
      <c r="C39" s="5" t="s">
        <v>190</v>
      </c>
      <c r="E39" s="5" t="s">
        <v>190</v>
      </c>
      <c r="G39" s="5" t="s">
        <v>190</v>
      </c>
      <c r="I39" s="5" t="s">
        <v>190</v>
      </c>
      <c r="K39" s="5" t="s">
        <v>190</v>
      </c>
      <c r="L39" s="5" t="s">
        <v>190</v>
      </c>
      <c r="N39" s="5" t="s">
        <v>190</v>
      </c>
      <c r="P39" s="5" t="s">
        <v>190</v>
      </c>
      <c r="R39" s="5" t="s">
        <v>190</v>
      </c>
      <c r="T39" s="5" t="s">
        <v>190</v>
      </c>
      <c r="V39" s="5">
        <f t="shared" si="0"/>
        <v>0</v>
      </c>
      <c r="X39" s="5">
        <f t="shared" si="1"/>
        <v>0</v>
      </c>
    </row>
    <row r="40" spans="1:24" ht="12.75">
      <c r="A40" s="13" t="s">
        <v>36</v>
      </c>
      <c r="B40" s="13"/>
      <c r="C40" s="5">
        <v>7265806</v>
      </c>
      <c r="E40" s="5">
        <v>23903449</v>
      </c>
      <c r="G40" s="5">
        <v>1749370</v>
      </c>
      <c r="I40" s="5">
        <f>5804818+9954659+645926+2655928</f>
        <v>19061331</v>
      </c>
      <c r="K40" s="5">
        <v>4323659</v>
      </c>
      <c r="L40" s="5">
        <v>492674</v>
      </c>
      <c r="N40" s="5">
        <v>2339936</v>
      </c>
      <c r="P40" s="5">
        <v>1573798</v>
      </c>
      <c r="R40" s="5">
        <v>1505663</v>
      </c>
      <c r="T40" s="5">
        <v>0</v>
      </c>
      <c r="V40" s="5">
        <f t="shared" si="0"/>
        <v>29297061</v>
      </c>
      <c r="X40" s="5">
        <f t="shared" si="1"/>
        <v>62215686</v>
      </c>
    </row>
    <row r="41" spans="1:24" ht="12.75">
      <c r="A41" s="13" t="s">
        <v>195</v>
      </c>
      <c r="B41" s="13"/>
      <c r="C41" s="5">
        <v>14809504</v>
      </c>
      <c r="E41" s="5">
        <v>29739972</v>
      </c>
      <c r="G41" s="5">
        <v>153538</v>
      </c>
      <c r="I41" s="5">
        <f>3253452+606949+3395364+2263575+5262407+1658602+2674065</f>
        <v>19114414</v>
      </c>
      <c r="K41" s="5">
        <v>18222214</v>
      </c>
      <c r="L41" s="5">
        <v>660151</v>
      </c>
      <c r="N41" s="5">
        <v>5638495</v>
      </c>
      <c r="P41" s="5">
        <v>1881489</v>
      </c>
      <c r="R41" s="5">
        <v>1970947</v>
      </c>
      <c r="T41" s="5">
        <v>0</v>
      </c>
      <c r="V41" s="5">
        <f t="shared" si="0"/>
        <v>47487710</v>
      </c>
      <c r="X41" s="5">
        <f t="shared" si="1"/>
        <v>92190724</v>
      </c>
    </row>
    <row r="42" spans="1:24" ht="12.75">
      <c r="A42" s="13" t="s">
        <v>37</v>
      </c>
      <c r="B42" s="13"/>
      <c r="C42" s="5">
        <v>4068785</v>
      </c>
      <c r="E42" s="5">
        <v>17671847</v>
      </c>
      <c r="G42" s="5">
        <v>511031</v>
      </c>
      <c r="I42" s="5">
        <f>1020851+171747+260123+34336+774509+1872061+343357</f>
        <v>4476984</v>
      </c>
      <c r="K42" s="5">
        <v>551334</v>
      </c>
      <c r="L42" s="5">
        <f>4752303</f>
        <v>4752303</v>
      </c>
      <c r="N42" s="5">
        <v>1852972</v>
      </c>
      <c r="P42" s="5">
        <v>812534</v>
      </c>
      <c r="R42" s="5">
        <f>397630</f>
        <v>397630</v>
      </c>
      <c r="T42" s="5">
        <v>0</v>
      </c>
      <c r="V42" s="5">
        <f t="shared" si="0"/>
        <v>12843757</v>
      </c>
      <c r="X42" s="5">
        <f t="shared" si="1"/>
        <v>35095420</v>
      </c>
    </row>
    <row r="43" spans="1:24" ht="12.75">
      <c r="A43" s="13" t="s">
        <v>38</v>
      </c>
      <c r="B43" s="13"/>
      <c r="C43" s="5">
        <v>224587000</v>
      </c>
      <c r="E43" s="5">
        <v>323814000</v>
      </c>
      <c r="G43" s="5">
        <v>1968000</v>
      </c>
      <c r="I43" s="5">
        <v>237171000</v>
      </c>
      <c r="K43" s="5">
        <v>60007000</v>
      </c>
      <c r="L43" s="5">
        <v>32580000</v>
      </c>
      <c r="N43" s="5">
        <v>14487000</v>
      </c>
      <c r="P43" s="5">
        <f>21040000+1902000</f>
        <v>22942000</v>
      </c>
      <c r="R43" s="5">
        <v>0</v>
      </c>
      <c r="T43" s="5">
        <v>0</v>
      </c>
      <c r="V43" s="5">
        <f t="shared" si="0"/>
        <v>367187000</v>
      </c>
      <c r="X43" s="5">
        <f t="shared" si="1"/>
        <v>917556000</v>
      </c>
    </row>
    <row r="44" spans="1:24" ht="12.75">
      <c r="A44" s="13" t="s">
        <v>39</v>
      </c>
      <c r="B44" s="13"/>
      <c r="C44" s="5">
        <v>6471346</v>
      </c>
      <c r="E44" s="5">
        <v>20425122</v>
      </c>
      <c r="G44" s="5">
        <v>1320833</v>
      </c>
      <c r="I44" s="5">
        <f>1926923+1129278+3113837+153578</f>
        <v>6323616</v>
      </c>
      <c r="K44" s="5">
        <v>4865680</v>
      </c>
      <c r="L44" s="5">
        <v>1311940</v>
      </c>
      <c r="N44" s="5">
        <v>2699694</v>
      </c>
      <c r="P44" s="5">
        <v>788988</v>
      </c>
      <c r="R44" s="5">
        <v>1070215</v>
      </c>
      <c r="T44" s="5">
        <v>0</v>
      </c>
      <c r="V44" s="5">
        <f t="shared" si="0"/>
        <v>17060133</v>
      </c>
      <c r="X44" s="5">
        <f t="shared" si="1"/>
        <v>45277434</v>
      </c>
    </row>
    <row r="45" spans="1:24" ht="12.75" hidden="1">
      <c r="A45" s="13" t="s">
        <v>169</v>
      </c>
      <c r="B45" s="13"/>
      <c r="C45" s="5" t="s">
        <v>190</v>
      </c>
      <c r="E45" s="5" t="s">
        <v>190</v>
      </c>
      <c r="G45" s="5" t="s">
        <v>190</v>
      </c>
      <c r="I45" s="5" t="s">
        <v>190</v>
      </c>
      <c r="K45" s="5" t="s">
        <v>190</v>
      </c>
      <c r="L45" s="5" t="s">
        <v>190</v>
      </c>
      <c r="N45" s="5" t="s">
        <v>190</v>
      </c>
      <c r="P45" s="5" t="s">
        <v>190</v>
      </c>
      <c r="R45" s="5" t="s">
        <v>190</v>
      </c>
      <c r="T45" s="5" t="s">
        <v>190</v>
      </c>
      <c r="V45" s="5">
        <f t="shared" si="0"/>
        <v>0</v>
      </c>
      <c r="X45" s="5">
        <f t="shared" si="1"/>
        <v>0</v>
      </c>
    </row>
    <row r="46" spans="1:24" ht="12.75" hidden="1">
      <c r="A46" s="13" t="s">
        <v>40</v>
      </c>
      <c r="B46" s="13"/>
      <c r="C46" s="5" t="s">
        <v>190</v>
      </c>
      <c r="E46" s="5" t="s">
        <v>190</v>
      </c>
      <c r="G46" s="5" t="s">
        <v>190</v>
      </c>
      <c r="I46" s="5" t="s">
        <v>190</v>
      </c>
      <c r="K46" s="5" t="s">
        <v>190</v>
      </c>
      <c r="L46" s="5" t="s">
        <v>190</v>
      </c>
      <c r="N46" s="5" t="s">
        <v>190</v>
      </c>
      <c r="P46" s="5" t="s">
        <v>190</v>
      </c>
      <c r="R46" s="5" t="s">
        <v>190</v>
      </c>
      <c r="T46" s="5" t="s">
        <v>190</v>
      </c>
      <c r="V46" s="5">
        <f t="shared" si="0"/>
        <v>0</v>
      </c>
      <c r="X46" s="5">
        <f t="shared" si="1"/>
        <v>0</v>
      </c>
    </row>
    <row r="47" spans="1:24" ht="12.75" hidden="1">
      <c r="A47" s="13" t="s">
        <v>41</v>
      </c>
      <c r="B47" s="13"/>
      <c r="C47" s="5" t="s">
        <v>190</v>
      </c>
      <c r="E47" s="5" t="s">
        <v>190</v>
      </c>
      <c r="G47" s="5" t="s">
        <v>190</v>
      </c>
      <c r="I47" s="5" t="s">
        <v>190</v>
      </c>
      <c r="K47" s="5" t="s">
        <v>190</v>
      </c>
      <c r="L47" s="5" t="s">
        <v>190</v>
      </c>
      <c r="N47" s="5" t="s">
        <v>190</v>
      </c>
      <c r="P47" s="5" t="s">
        <v>190</v>
      </c>
      <c r="R47" s="5" t="s">
        <v>190</v>
      </c>
      <c r="T47" s="5" t="s">
        <v>190</v>
      </c>
      <c r="V47" s="5">
        <f t="shared" si="0"/>
        <v>0</v>
      </c>
      <c r="X47" s="5">
        <f t="shared" si="1"/>
        <v>0</v>
      </c>
    </row>
    <row r="48" spans="1:24" ht="12.75" hidden="1">
      <c r="A48" s="13" t="s">
        <v>42</v>
      </c>
      <c r="B48" s="13"/>
      <c r="C48" s="5" t="s">
        <v>190</v>
      </c>
      <c r="E48" s="5" t="s">
        <v>190</v>
      </c>
      <c r="G48" s="5" t="s">
        <v>190</v>
      </c>
      <c r="I48" s="5" t="s">
        <v>190</v>
      </c>
      <c r="K48" s="5" t="s">
        <v>190</v>
      </c>
      <c r="L48" s="5" t="s">
        <v>190</v>
      </c>
      <c r="N48" s="5" t="s">
        <v>190</v>
      </c>
      <c r="P48" s="5" t="s">
        <v>190</v>
      </c>
      <c r="R48" s="5" t="s">
        <v>190</v>
      </c>
      <c r="T48" s="5" t="s">
        <v>190</v>
      </c>
      <c r="V48" s="5">
        <f t="shared" si="0"/>
        <v>0</v>
      </c>
      <c r="X48" s="5">
        <f t="shared" si="1"/>
        <v>0</v>
      </c>
    </row>
    <row r="49" spans="1:24" ht="12.75" hidden="1">
      <c r="A49" s="13" t="s">
        <v>43</v>
      </c>
      <c r="B49" s="13"/>
      <c r="C49" s="5" t="s">
        <v>190</v>
      </c>
      <c r="E49" s="5" t="s">
        <v>190</v>
      </c>
      <c r="G49" s="5" t="s">
        <v>190</v>
      </c>
      <c r="I49" s="5" t="s">
        <v>190</v>
      </c>
      <c r="K49" s="5" t="s">
        <v>190</v>
      </c>
      <c r="L49" s="5" t="s">
        <v>190</v>
      </c>
      <c r="N49" s="5" t="s">
        <v>190</v>
      </c>
      <c r="P49" s="5" t="s">
        <v>190</v>
      </c>
      <c r="R49" s="5" t="s">
        <v>190</v>
      </c>
      <c r="T49" s="5" t="s">
        <v>190</v>
      </c>
      <c r="V49" s="5">
        <f t="shared" si="0"/>
        <v>0</v>
      </c>
      <c r="X49" s="5">
        <f t="shared" si="1"/>
        <v>0</v>
      </c>
    </row>
    <row r="50" spans="1:24" ht="12.75" hidden="1">
      <c r="A50" s="13" t="s">
        <v>44</v>
      </c>
      <c r="B50" s="13"/>
      <c r="V50" s="5">
        <f t="shared" si="0"/>
        <v>0</v>
      </c>
      <c r="X50" s="5">
        <f t="shared" si="1"/>
        <v>0</v>
      </c>
    </row>
    <row r="51" spans="1:24" ht="12.75" hidden="1">
      <c r="A51" s="13" t="s">
        <v>45</v>
      </c>
      <c r="B51" s="13"/>
      <c r="C51" s="5" t="s">
        <v>190</v>
      </c>
      <c r="E51" s="5" t="s">
        <v>190</v>
      </c>
      <c r="G51" s="5" t="s">
        <v>190</v>
      </c>
      <c r="I51" s="5" t="s">
        <v>190</v>
      </c>
      <c r="K51" s="5" t="s">
        <v>190</v>
      </c>
      <c r="L51" s="5" t="s">
        <v>190</v>
      </c>
      <c r="N51" s="5" t="s">
        <v>190</v>
      </c>
      <c r="P51" s="5" t="s">
        <v>190</v>
      </c>
      <c r="R51" s="5" t="s">
        <v>190</v>
      </c>
      <c r="T51" s="5" t="s">
        <v>190</v>
      </c>
      <c r="V51" s="5">
        <f t="shared" si="0"/>
        <v>0</v>
      </c>
      <c r="X51" s="5">
        <f t="shared" si="1"/>
        <v>0</v>
      </c>
    </row>
    <row r="52" spans="1:24" ht="12.75" hidden="1">
      <c r="A52" s="13" t="s">
        <v>46</v>
      </c>
      <c r="B52" s="13"/>
      <c r="C52" s="5" t="s">
        <v>190</v>
      </c>
      <c r="E52" s="5" t="s">
        <v>190</v>
      </c>
      <c r="G52" s="5" t="s">
        <v>190</v>
      </c>
      <c r="I52" s="5" t="s">
        <v>190</v>
      </c>
      <c r="K52" s="5" t="s">
        <v>190</v>
      </c>
      <c r="L52" s="5" t="s">
        <v>190</v>
      </c>
      <c r="N52" s="5" t="s">
        <v>190</v>
      </c>
      <c r="P52" s="5" t="s">
        <v>190</v>
      </c>
      <c r="R52" s="5" t="s">
        <v>190</v>
      </c>
      <c r="T52" s="5" t="s">
        <v>190</v>
      </c>
      <c r="V52" s="5">
        <f t="shared" si="0"/>
        <v>0</v>
      </c>
      <c r="X52" s="5">
        <f t="shared" si="1"/>
        <v>0</v>
      </c>
    </row>
    <row r="53" spans="1:24" ht="12.75">
      <c r="A53" s="13" t="s">
        <v>47</v>
      </c>
      <c r="B53" s="13"/>
      <c r="C53" s="5">
        <v>7581318</v>
      </c>
      <c r="E53" s="5">
        <v>33901664</v>
      </c>
      <c r="G53" s="5">
        <v>89232</v>
      </c>
      <c r="I53" s="5">
        <f>2271492+426103+1150651+164937+990474+3511633+1526650+1135172</f>
        <v>11177112</v>
      </c>
      <c r="K53" s="5">
        <v>8374157</v>
      </c>
      <c r="L53" s="5">
        <v>0</v>
      </c>
      <c r="N53" s="5">
        <v>3595466</v>
      </c>
      <c r="P53" s="5">
        <v>410725</v>
      </c>
      <c r="R53" s="5">
        <v>604142</v>
      </c>
      <c r="T53" s="5">
        <v>0</v>
      </c>
      <c r="V53" s="5">
        <f t="shared" si="0"/>
        <v>24161602</v>
      </c>
      <c r="X53" s="5">
        <f t="shared" si="1"/>
        <v>65733816</v>
      </c>
    </row>
    <row r="54" spans="1:24" ht="12.75" hidden="1">
      <c r="A54" s="13" t="s">
        <v>48</v>
      </c>
      <c r="B54" s="13"/>
      <c r="V54" s="5">
        <f t="shared" si="0"/>
        <v>0</v>
      </c>
      <c r="X54" s="5">
        <f t="shared" si="1"/>
        <v>0</v>
      </c>
    </row>
    <row r="55" spans="1:24" ht="12.75">
      <c r="A55" s="13" t="s">
        <v>49</v>
      </c>
      <c r="B55" s="13"/>
      <c r="C55" s="5">
        <v>21305174</v>
      </c>
      <c r="E55" s="5">
        <v>51065362</v>
      </c>
      <c r="G55" s="5">
        <v>844786</v>
      </c>
      <c r="I55" s="5">
        <f>10424885+19818881+6195884+3194157+1150118+1372786+1237980</f>
        <v>43394691</v>
      </c>
      <c r="K55" s="5">
        <f>14671653</f>
        <v>14671653</v>
      </c>
      <c r="L55" s="5">
        <v>0</v>
      </c>
      <c r="N55" s="5">
        <v>8174182</v>
      </c>
      <c r="P55" s="5">
        <v>3322477</v>
      </c>
      <c r="R55" s="5">
        <f>2840723+3297925</f>
        <v>6138648</v>
      </c>
      <c r="T55" s="5">
        <v>0</v>
      </c>
      <c r="V55" s="5">
        <f t="shared" si="0"/>
        <v>75701651</v>
      </c>
      <c r="X55" s="5">
        <f t="shared" si="1"/>
        <v>148916973</v>
      </c>
    </row>
    <row r="56" spans="1:24" ht="12.75" hidden="1">
      <c r="A56" s="13" t="s">
        <v>171</v>
      </c>
      <c r="B56" s="13"/>
      <c r="C56" s="5" t="s">
        <v>190</v>
      </c>
      <c r="E56" s="5" t="s">
        <v>190</v>
      </c>
      <c r="G56" s="5" t="s">
        <v>190</v>
      </c>
      <c r="I56" s="5" t="s">
        <v>190</v>
      </c>
      <c r="K56" s="5" t="s">
        <v>190</v>
      </c>
      <c r="L56" s="5" t="s">
        <v>190</v>
      </c>
      <c r="N56" s="5" t="s">
        <v>190</v>
      </c>
      <c r="P56" s="5" t="s">
        <v>190</v>
      </c>
      <c r="R56" s="5" t="s">
        <v>190</v>
      </c>
      <c r="T56" s="5" t="s">
        <v>190</v>
      </c>
      <c r="V56" s="5">
        <f t="shared" si="0"/>
        <v>0</v>
      </c>
      <c r="X56" s="5">
        <f t="shared" si="1"/>
        <v>0</v>
      </c>
    </row>
    <row r="57" spans="1:24" ht="12.75" hidden="1">
      <c r="A57" s="13" t="s">
        <v>50</v>
      </c>
      <c r="B57" s="13"/>
      <c r="C57" s="5" t="s">
        <v>190</v>
      </c>
      <c r="E57" s="5" t="s">
        <v>190</v>
      </c>
      <c r="G57" s="5" t="s">
        <v>190</v>
      </c>
      <c r="I57" s="5" t="s">
        <v>190</v>
      </c>
      <c r="K57" s="5" t="s">
        <v>190</v>
      </c>
      <c r="L57" s="5" t="s">
        <v>190</v>
      </c>
      <c r="N57" s="5" t="s">
        <v>190</v>
      </c>
      <c r="P57" s="5" t="s">
        <v>190</v>
      </c>
      <c r="R57" s="5" t="s">
        <v>190</v>
      </c>
      <c r="T57" s="5" t="s">
        <v>190</v>
      </c>
      <c r="V57" s="5">
        <f t="shared" si="0"/>
        <v>0</v>
      </c>
      <c r="X57" s="5">
        <f t="shared" si="1"/>
        <v>0</v>
      </c>
    </row>
    <row r="58" spans="1:24" ht="12.75" hidden="1">
      <c r="A58" s="13" t="s">
        <v>51</v>
      </c>
      <c r="B58" s="13"/>
      <c r="C58" s="5" t="s">
        <v>190</v>
      </c>
      <c r="E58" s="5" t="s">
        <v>190</v>
      </c>
      <c r="G58" s="5" t="s">
        <v>190</v>
      </c>
      <c r="I58" s="5" t="s">
        <v>190</v>
      </c>
      <c r="K58" s="5" t="s">
        <v>190</v>
      </c>
      <c r="L58" s="5" t="s">
        <v>190</v>
      </c>
      <c r="N58" s="5" t="s">
        <v>190</v>
      </c>
      <c r="P58" s="5" t="s">
        <v>190</v>
      </c>
      <c r="R58" s="5" t="s">
        <v>190</v>
      </c>
      <c r="T58" s="5" t="s">
        <v>190</v>
      </c>
      <c r="V58" s="5">
        <f t="shared" si="0"/>
        <v>0</v>
      </c>
      <c r="X58" s="5">
        <f t="shared" si="1"/>
        <v>0</v>
      </c>
    </row>
    <row r="59" spans="1:24" ht="12.75">
      <c r="A59" s="13" t="s">
        <v>52</v>
      </c>
      <c r="B59" s="13"/>
      <c r="C59" s="5">
        <v>30322450</v>
      </c>
      <c r="E59" s="5">
        <v>85474699</v>
      </c>
      <c r="G59" s="5">
        <v>1896089</v>
      </c>
      <c r="I59" s="5">
        <v>43662409</v>
      </c>
      <c r="K59" s="5">
        <v>20506375</v>
      </c>
      <c r="L59" s="5">
        <v>0</v>
      </c>
      <c r="N59" s="5">
        <v>11761947</v>
      </c>
      <c r="P59" s="5">
        <v>4237027</v>
      </c>
      <c r="R59" s="5">
        <f>516920+597404</f>
        <v>1114324</v>
      </c>
      <c r="T59" s="5">
        <v>0</v>
      </c>
      <c r="V59" s="5">
        <f t="shared" si="0"/>
        <v>81282082</v>
      </c>
      <c r="X59" s="5">
        <f t="shared" si="1"/>
        <v>198975320</v>
      </c>
    </row>
    <row r="60" spans="1:24" ht="12.75">
      <c r="A60" s="13" t="s">
        <v>202</v>
      </c>
      <c r="B60" s="13"/>
      <c r="C60" s="5">
        <v>25137000</v>
      </c>
      <c r="E60" s="5">
        <v>176357000</v>
      </c>
      <c r="G60" s="5">
        <v>734000</v>
      </c>
      <c r="I60" s="5">
        <v>106090000</v>
      </c>
      <c r="K60" s="5">
        <v>75328000</v>
      </c>
      <c r="L60" s="5">
        <v>18270000</v>
      </c>
      <c r="N60" s="5">
        <v>1254000</v>
      </c>
      <c r="P60" s="5">
        <f>9339000-871000</f>
        <v>8468000</v>
      </c>
      <c r="R60" s="5">
        <f>228000+38580000</f>
        <v>38808000</v>
      </c>
      <c r="T60" s="5">
        <v>95000</v>
      </c>
      <c r="V60" s="5">
        <f t="shared" si="0"/>
        <v>248313000</v>
      </c>
      <c r="X60" s="5">
        <f t="shared" si="1"/>
        <v>450541000</v>
      </c>
    </row>
    <row r="61" spans="1:24" ht="12.75" hidden="1">
      <c r="A61" s="13" t="s">
        <v>53</v>
      </c>
      <c r="B61" s="13"/>
      <c r="C61" s="5" t="s">
        <v>190</v>
      </c>
      <c r="E61" s="5" t="s">
        <v>190</v>
      </c>
      <c r="G61" s="5" t="s">
        <v>190</v>
      </c>
      <c r="I61" s="5" t="s">
        <v>190</v>
      </c>
      <c r="K61" s="5" t="s">
        <v>190</v>
      </c>
      <c r="L61" s="5" t="s">
        <v>190</v>
      </c>
      <c r="N61" s="5" t="s">
        <v>190</v>
      </c>
      <c r="P61" s="5" t="s">
        <v>190</v>
      </c>
      <c r="R61" s="5" t="s">
        <v>190</v>
      </c>
      <c r="T61" s="5" t="s">
        <v>190</v>
      </c>
      <c r="V61" s="5">
        <f aca="true" t="shared" si="2" ref="V61:V92">SUM(I61:T61)</f>
        <v>0</v>
      </c>
      <c r="X61" s="5">
        <f t="shared" si="1"/>
        <v>0</v>
      </c>
    </row>
    <row r="62" spans="1:24" ht="12.75">
      <c r="A62" s="13" t="s">
        <v>54</v>
      </c>
      <c r="B62" s="13"/>
      <c r="C62" s="5">
        <v>23054262</v>
      </c>
      <c r="E62" s="5">
        <v>76587565</v>
      </c>
      <c r="G62" s="5">
        <v>4026279</v>
      </c>
      <c r="I62" s="5">
        <v>30438349</v>
      </c>
      <c r="K62" s="5">
        <v>25806159</v>
      </c>
      <c r="L62" s="5">
        <v>11006782</v>
      </c>
      <c r="N62" s="5">
        <v>10247484</v>
      </c>
      <c r="P62" s="5">
        <f>2991006-134537</f>
        <v>2856469</v>
      </c>
      <c r="R62" s="5">
        <v>0</v>
      </c>
      <c r="T62" s="5">
        <v>0</v>
      </c>
      <c r="V62" s="5">
        <f t="shared" si="2"/>
        <v>80355243</v>
      </c>
      <c r="X62" s="5">
        <f t="shared" si="1"/>
        <v>184023349</v>
      </c>
    </row>
    <row r="63" spans="1:24" ht="12.75" hidden="1">
      <c r="A63" s="13" t="s">
        <v>55</v>
      </c>
      <c r="B63" s="13"/>
      <c r="C63" s="5" t="s">
        <v>190</v>
      </c>
      <c r="E63" s="5" t="s">
        <v>190</v>
      </c>
      <c r="G63" s="5" t="s">
        <v>190</v>
      </c>
      <c r="I63" s="5" t="s">
        <v>190</v>
      </c>
      <c r="K63" s="5" t="s">
        <v>190</v>
      </c>
      <c r="L63" s="5" t="s">
        <v>190</v>
      </c>
      <c r="N63" s="5" t="s">
        <v>190</v>
      </c>
      <c r="P63" s="5" t="s">
        <v>190</v>
      </c>
      <c r="R63" s="5" t="s">
        <v>190</v>
      </c>
      <c r="T63" s="5" t="s">
        <v>190</v>
      </c>
      <c r="V63" s="5">
        <f t="shared" si="2"/>
        <v>0</v>
      </c>
      <c r="X63" s="5">
        <f t="shared" si="1"/>
        <v>0</v>
      </c>
    </row>
    <row r="64" spans="1:24" ht="12.75">
      <c r="A64" s="13" t="s">
        <v>56</v>
      </c>
      <c r="B64" s="13"/>
      <c r="C64" s="5">
        <v>16171586</v>
      </c>
      <c r="E64" s="5">
        <v>30262655</v>
      </c>
      <c r="G64" s="5">
        <v>3182149</v>
      </c>
      <c r="I64" s="5">
        <f>8303232+1817104+347723+10886028</f>
        <v>21354087</v>
      </c>
      <c r="K64" s="5">
        <v>8137853</v>
      </c>
      <c r="L64" s="5">
        <v>0</v>
      </c>
      <c r="N64" s="5">
        <v>8273034</v>
      </c>
      <c r="P64" s="5">
        <v>1771579</v>
      </c>
      <c r="R64" s="5">
        <v>2599737</v>
      </c>
      <c r="T64" s="5">
        <v>368799</v>
      </c>
      <c r="V64" s="5">
        <f t="shared" si="2"/>
        <v>42505089</v>
      </c>
      <c r="X64" s="5">
        <f t="shared" si="1"/>
        <v>92121479</v>
      </c>
    </row>
    <row r="65" spans="1:24" ht="12.75" hidden="1">
      <c r="A65" s="13" t="s">
        <v>173</v>
      </c>
      <c r="B65" s="13"/>
      <c r="C65" s="5" t="s">
        <v>190</v>
      </c>
      <c r="E65" s="5" t="s">
        <v>190</v>
      </c>
      <c r="G65" s="5" t="s">
        <v>190</v>
      </c>
      <c r="I65" s="5" t="s">
        <v>190</v>
      </c>
      <c r="K65" s="5" t="s">
        <v>190</v>
      </c>
      <c r="L65" s="5" t="s">
        <v>190</v>
      </c>
      <c r="N65" s="5" t="s">
        <v>190</v>
      </c>
      <c r="P65" s="5" t="s">
        <v>190</v>
      </c>
      <c r="R65" s="5" t="s">
        <v>190</v>
      </c>
      <c r="T65" s="5" t="s">
        <v>190</v>
      </c>
      <c r="V65" s="5">
        <f t="shared" si="2"/>
        <v>0</v>
      </c>
      <c r="X65" s="5">
        <f t="shared" si="1"/>
        <v>0</v>
      </c>
    </row>
    <row r="66" spans="1:24" ht="12.75" hidden="1">
      <c r="A66" s="13" t="s">
        <v>57</v>
      </c>
      <c r="B66" s="13"/>
      <c r="C66" s="5" t="s">
        <v>190</v>
      </c>
      <c r="E66" s="5" t="s">
        <v>190</v>
      </c>
      <c r="G66" s="5" t="s">
        <v>190</v>
      </c>
      <c r="I66" s="5" t="s">
        <v>190</v>
      </c>
      <c r="K66" s="5" t="s">
        <v>190</v>
      </c>
      <c r="L66" s="5" t="s">
        <v>190</v>
      </c>
      <c r="N66" s="5" t="s">
        <v>190</v>
      </c>
      <c r="P66" s="5" t="s">
        <v>190</v>
      </c>
      <c r="R66" s="5" t="s">
        <v>190</v>
      </c>
      <c r="T66" s="5" t="s">
        <v>190</v>
      </c>
      <c r="V66" s="5">
        <f t="shared" si="2"/>
        <v>0</v>
      </c>
      <c r="X66" s="5">
        <f t="shared" si="1"/>
        <v>0</v>
      </c>
    </row>
    <row r="67" spans="1:24" ht="12.75" hidden="1">
      <c r="A67" s="13" t="s">
        <v>58</v>
      </c>
      <c r="B67" s="13"/>
      <c r="C67" s="5" t="s">
        <v>190</v>
      </c>
      <c r="E67" s="5" t="s">
        <v>190</v>
      </c>
      <c r="G67" s="5" t="s">
        <v>190</v>
      </c>
      <c r="I67" s="5" t="s">
        <v>190</v>
      </c>
      <c r="K67" s="5" t="s">
        <v>190</v>
      </c>
      <c r="L67" s="5" t="s">
        <v>190</v>
      </c>
      <c r="N67" s="5" t="s">
        <v>190</v>
      </c>
      <c r="P67" s="5" t="s">
        <v>190</v>
      </c>
      <c r="R67" s="5" t="s">
        <v>190</v>
      </c>
      <c r="T67" s="5" t="s">
        <v>190</v>
      </c>
      <c r="V67" s="5">
        <f t="shared" si="2"/>
        <v>0</v>
      </c>
      <c r="X67" s="5">
        <f t="shared" si="1"/>
        <v>0</v>
      </c>
    </row>
    <row r="68" spans="1:24" ht="12.75" hidden="1">
      <c r="A68" s="13" t="s">
        <v>59</v>
      </c>
      <c r="B68" s="13"/>
      <c r="V68" s="5">
        <f t="shared" si="2"/>
        <v>0</v>
      </c>
      <c r="X68" s="5">
        <f t="shared" si="1"/>
        <v>0</v>
      </c>
    </row>
    <row r="69" spans="1:24" ht="12.75">
      <c r="A69" s="13" t="s">
        <v>60</v>
      </c>
      <c r="B69" s="13"/>
      <c r="C69" s="5">
        <v>49731020</v>
      </c>
      <c r="E69" s="5">
        <v>182653480</v>
      </c>
      <c r="G69" s="5">
        <v>9848858</v>
      </c>
      <c r="I69" s="5">
        <f>15418454+4086789+72223077</f>
        <v>91728320</v>
      </c>
      <c r="K69" s="5">
        <v>63239752</v>
      </c>
      <c r="L69" s="5">
        <v>8211846</v>
      </c>
      <c r="N69" s="5">
        <v>21060412</v>
      </c>
      <c r="P69" s="5">
        <v>30243526</v>
      </c>
      <c r="R69" s="5">
        <f>17690687+918730</f>
        <v>18609417</v>
      </c>
      <c r="T69" s="5">
        <v>0</v>
      </c>
      <c r="V69" s="5">
        <f t="shared" si="2"/>
        <v>233093273</v>
      </c>
      <c r="X69" s="5">
        <f t="shared" si="1"/>
        <v>475326631</v>
      </c>
    </row>
    <row r="70" spans="1:24" ht="12.75" hidden="1">
      <c r="A70" s="13" t="s">
        <v>61</v>
      </c>
      <c r="B70" s="13"/>
      <c r="C70" s="5" t="s">
        <v>190</v>
      </c>
      <c r="E70" s="5" t="s">
        <v>190</v>
      </c>
      <c r="G70" s="5" t="s">
        <v>190</v>
      </c>
      <c r="I70" s="5" t="s">
        <v>190</v>
      </c>
      <c r="K70" s="5" t="s">
        <v>190</v>
      </c>
      <c r="L70" s="5" t="s">
        <v>190</v>
      </c>
      <c r="N70" s="5" t="s">
        <v>190</v>
      </c>
      <c r="P70" s="5" t="s">
        <v>190</v>
      </c>
      <c r="R70" s="5" t="s">
        <v>190</v>
      </c>
      <c r="T70" s="5" t="s">
        <v>190</v>
      </c>
      <c r="V70" s="5">
        <f t="shared" si="2"/>
        <v>0</v>
      </c>
      <c r="X70" s="5">
        <f t="shared" si="1"/>
        <v>0</v>
      </c>
    </row>
    <row r="71" spans="1:24" ht="12.75" hidden="1">
      <c r="A71" s="13" t="s">
        <v>62</v>
      </c>
      <c r="B71" s="13"/>
      <c r="C71" s="5" t="s">
        <v>190</v>
      </c>
      <c r="E71" s="5" t="s">
        <v>190</v>
      </c>
      <c r="G71" s="5" t="s">
        <v>190</v>
      </c>
      <c r="I71" s="5" t="s">
        <v>190</v>
      </c>
      <c r="K71" s="5" t="s">
        <v>190</v>
      </c>
      <c r="L71" s="5" t="s">
        <v>190</v>
      </c>
      <c r="N71" s="5" t="s">
        <v>190</v>
      </c>
      <c r="P71" s="5" t="s">
        <v>190</v>
      </c>
      <c r="R71" s="5" t="s">
        <v>190</v>
      </c>
      <c r="T71" s="5" t="s">
        <v>190</v>
      </c>
      <c r="V71" s="5">
        <f t="shared" si="2"/>
        <v>0</v>
      </c>
      <c r="X71" s="5">
        <f t="shared" si="1"/>
        <v>0</v>
      </c>
    </row>
    <row r="72" spans="1:24" ht="12.75" hidden="1">
      <c r="A72" s="13" t="s">
        <v>63</v>
      </c>
      <c r="B72" s="13"/>
      <c r="C72" s="5" t="s">
        <v>190</v>
      </c>
      <c r="E72" s="5" t="s">
        <v>190</v>
      </c>
      <c r="G72" s="5" t="s">
        <v>190</v>
      </c>
      <c r="I72" s="5" t="s">
        <v>190</v>
      </c>
      <c r="K72" s="5" t="s">
        <v>190</v>
      </c>
      <c r="L72" s="5" t="s">
        <v>190</v>
      </c>
      <c r="N72" s="5" t="s">
        <v>190</v>
      </c>
      <c r="P72" s="5" t="s">
        <v>190</v>
      </c>
      <c r="R72" s="5" t="s">
        <v>190</v>
      </c>
      <c r="T72" s="5" t="s">
        <v>190</v>
      </c>
      <c r="V72" s="5">
        <f t="shared" si="2"/>
        <v>0</v>
      </c>
      <c r="X72" s="5">
        <f t="shared" si="1"/>
        <v>0</v>
      </c>
    </row>
    <row r="73" spans="1:24" ht="12.75">
      <c r="A73" s="13" t="s">
        <v>64</v>
      </c>
      <c r="B73" s="13"/>
      <c r="C73" s="5">
        <v>1154541</v>
      </c>
      <c r="E73" s="5">
        <v>5547051</v>
      </c>
      <c r="G73" s="5">
        <v>262587</v>
      </c>
      <c r="I73" s="5">
        <f>540880+166849+1032373</f>
        <v>1740102</v>
      </c>
      <c r="K73" s="5">
        <v>881894</v>
      </c>
      <c r="L73" s="5">
        <v>0</v>
      </c>
      <c r="N73" s="5">
        <v>168082</v>
      </c>
      <c r="P73" s="5">
        <v>152880</v>
      </c>
      <c r="R73" s="5">
        <v>687772</v>
      </c>
      <c r="T73" s="5">
        <v>0</v>
      </c>
      <c r="V73" s="5">
        <f t="shared" si="2"/>
        <v>3630730</v>
      </c>
      <c r="X73" s="5">
        <f t="shared" si="1"/>
        <v>10594909</v>
      </c>
    </row>
    <row r="74" spans="1:24" ht="12.75" hidden="1">
      <c r="A74" s="13" t="s">
        <v>65</v>
      </c>
      <c r="B74" s="13"/>
      <c r="C74" s="5" t="s">
        <v>190</v>
      </c>
      <c r="E74" s="5" t="s">
        <v>190</v>
      </c>
      <c r="G74" s="5" t="s">
        <v>190</v>
      </c>
      <c r="I74" s="5" t="s">
        <v>190</v>
      </c>
      <c r="K74" s="5" t="s">
        <v>190</v>
      </c>
      <c r="L74" s="5" t="s">
        <v>190</v>
      </c>
      <c r="N74" s="5" t="s">
        <v>190</v>
      </c>
      <c r="P74" s="5" t="s">
        <v>190</v>
      </c>
      <c r="R74" s="5" t="s">
        <v>190</v>
      </c>
      <c r="T74" s="5" t="s">
        <v>190</v>
      </c>
      <c r="V74" s="5">
        <f t="shared" si="2"/>
        <v>0</v>
      </c>
      <c r="X74" s="5">
        <f t="shared" si="1"/>
        <v>0</v>
      </c>
    </row>
    <row r="75" spans="1:24" ht="12.75" hidden="1">
      <c r="A75" s="13" t="s">
        <v>134</v>
      </c>
      <c r="B75" s="13"/>
      <c r="C75" s="5" t="s">
        <v>190</v>
      </c>
      <c r="E75" s="5" t="s">
        <v>190</v>
      </c>
      <c r="G75" s="5" t="s">
        <v>190</v>
      </c>
      <c r="I75" s="5" t="s">
        <v>190</v>
      </c>
      <c r="K75" s="5" t="s">
        <v>190</v>
      </c>
      <c r="L75" s="5" t="s">
        <v>190</v>
      </c>
      <c r="N75" s="5" t="s">
        <v>190</v>
      </c>
      <c r="P75" s="5" t="s">
        <v>190</v>
      </c>
      <c r="R75" s="5" t="s">
        <v>190</v>
      </c>
      <c r="T75" s="5" t="s">
        <v>190</v>
      </c>
      <c r="V75" s="5">
        <f t="shared" si="2"/>
        <v>0</v>
      </c>
      <c r="X75" s="5">
        <f t="shared" si="1"/>
        <v>0</v>
      </c>
    </row>
    <row r="76" spans="1:24" ht="12.75" hidden="1">
      <c r="A76" s="13" t="s">
        <v>66</v>
      </c>
      <c r="B76" s="13"/>
      <c r="C76" s="5" t="s">
        <v>190</v>
      </c>
      <c r="E76" s="5" t="s">
        <v>190</v>
      </c>
      <c r="G76" s="5" t="s">
        <v>190</v>
      </c>
      <c r="I76" s="5" t="s">
        <v>190</v>
      </c>
      <c r="K76" s="5" t="s">
        <v>190</v>
      </c>
      <c r="L76" s="5" t="s">
        <v>190</v>
      </c>
      <c r="N76" s="5" t="s">
        <v>190</v>
      </c>
      <c r="P76" s="5" t="s">
        <v>190</v>
      </c>
      <c r="R76" s="5" t="s">
        <v>190</v>
      </c>
      <c r="T76" s="5" t="s">
        <v>190</v>
      </c>
      <c r="V76" s="5">
        <f t="shared" si="2"/>
        <v>0</v>
      </c>
      <c r="X76" s="5">
        <f t="shared" si="1"/>
        <v>0</v>
      </c>
    </row>
    <row r="77" spans="1:24" ht="12.75">
      <c r="A77" s="13" t="s">
        <v>67</v>
      </c>
      <c r="B77" s="13"/>
      <c r="C77" s="5">
        <v>2551394</v>
      </c>
      <c r="E77" s="5">
        <v>12119151</v>
      </c>
      <c r="G77" s="5">
        <v>971123</v>
      </c>
      <c r="I77" s="5">
        <f>2878539+1748068</f>
        <v>4626607</v>
      </c>
      <c r="K77" s="5">
        <f>5093972+135981</f>
        <v>5229953</v>
      </c>
      <c r="L77" s="5">
        <v>0</v>
      </c>
      <c r="N77" s="5">
        <v>1164184</v>
      </c>
      <c r="P77" s="5">
        <v>493462</v>
      </c>
      <c r="R77" s="5">
        <v>4411155</v>
      </c>
      <c r="T77" s="5">
        <v>0</v>
      </c>
      <c r="V77" s="5">
        <f t="shared" si="2"/>
        <v>15925361</v>
      </c>
      <c r="X77" s="5">
        <f t="shared" si="1"/>
        <v>31567029</v>
      </c>
    </row>
    <row r="78" spans="1:24" ht="12.75" hidden="1">
      <c r="A78" s="13" t="s">
        <v>68</v>
      </c>
      <c r="B78" s="13"/>
      <c r="C78" s="5" t="s">
        <v>190</v>
      </c>
      <c r="E78" s="5" t="s">
        <v>190</v>
      </c>
      <c r="G78" s="5" t="s">
        <v>190</v>
      </c>
      <c r="I78" s="5" t="s">
        <v>190</v>
      </c>
      <c r="K78" s="5" t="s">
        <v>190</v>
      </c>
      <c r="L78" s="5" t="s">
        <v>190</v>
      </c>
      <c r="N78" s="5" t="s">
        <v>190</v>
      </c>
      <c r="P78" s="5" t="s">
        <v>190</v>
      </c>
      <c r="R78" s="5" t="s">
        <v>190</v>
      </c>
      <c r="T78" s="5" t="s">
        <v>190</v>
      </c>
      <c r="V78" s="5">
        <f t="shared" si="2"/>
        <v>0</v>
      </c>
      <c r="X78" s="5">
        <f t="shared" si="1"/>
        <v>0</v>
      </c>
    </row>
    <row r="79" spans="1:24" ht="12.75">
      <c r="A79" s="13" t="s">
        <v>69</v>
      </c>
      <c r="B79" s="13"/>
      <c r="C79" s="5">
        <v>13178915</v>
      </c>
      <c r="E79" s="5">
        <v>36322342</v>
      </c>
      <c r="G79" s="5">
        <v>1434686</v>
      </c>
      <c r="I79" s="5">
        <f>4981860+2264441+10992985+2413053+1373173</f>
        <v>22025512</v>
      </c>
      <c r="K79" s="5">
        <f>12584271+42816</f>
        <v>12627087</v>
      </c>
      <c r="L79" s="5">
        <v>0</v>
      </c>
      <c r="N79" s="5">
        <v>5123652</v>
      </c>
      <c r="P79" s="5">
        <v>2659075</v>
      </c>
      <c r="R79" s="5">
        <v>294361</v>
      </c>
      <c r="T79" s="5">
        <v>52725</v>
      </c>
      <c r="V79" s="5">
        <f t="shared" si="2"/>
        <v>42782412</v>
      </c>
      <c r="X79" s="5">
        <f t="shared" si="1"/>
        <v>93718355</v>
      </c>
    </row>
    <row r="80" spans="1:24" ht="12.75" hidden="1">
      <c r="A80" s="13" t="s">
        <v>70</v>
      </c>
      <c r="B80" s="13"/>
      <c r="C80" s="5" t="s">
        <v>190</v>
      </c>
      <c r="E80" s="5" t="s">
        <v>190</v>
      </c>
      <c r="G80" s="5" t="s">
        <v>190</v>
      </c>
      <c r="I80" s="5" t="s">
        <v>190</v>
      </c>
      <c r="K80" s="5" t="s">
        <v>190</v>
      </c>
      <c r="L80" s="5" t="s">
        <v>190</v>
      </c>
      <c r="N80" s="5" t="s">
        <v>190</v>
      </c>
      <c r="P80" s="5" t="s">
        <v>190</v>
      </c>
      <c r="R80" s="5" t="s">
        <v>190</v>
      </c>
      <c r="T80" s="5" t="s">
        <v>190</v>
      </c>
      <c r="V80" s="5">
        <f t="shared" si="2"/>
        <v>0</v>
      </c>
      <c r="X80" s="5">
        <f t="shared" si="1"/>
        <v>0</v>
      </c>
    </row>
    <row r="81" spans="1:24" ht="12.75" hidden="1">
      <c r="A81" s="13" t="s">
        <v>186</v>
      </c>
      <c r="B81" s="13"/>
      <c r="C81" s="5" t="s">
        <v>190</v>
      </c>
      <c r="E81" s="5" t="s">
        <v>190</v>
      </c>
      <c r="G81" s="5" t="s">
        <v>190</v>
      </c>
      <c r="I81" s="5" t="s">
        <v>190</v>
      </c>
      <c r="K81" s="5" t="s">
        <v>190</v>
      </c>
      <c r="L81" s="5" t="s">
        <v>190</v>
      </c>
      <c r="N81" s="5" t="s">
        <v>190</v>
      </c>
      <c r="P81" s="5" t="s">
        <v>190</v>
      </c>
      <c r="R81" s="5" t="s">
        <v>190</v>
      </c>
      <c r="T81" s="5" t="s">
        <v>190</v>
      </c>
      <c r="V81" s="5">
        <f t="shared" si="2"/>
        <v>0</v>
      </c>
      <c r="X81" s="5">
        <f t="shared" si="1"/>
        <v>0</v>
      </c>
    </row>
    <row r="82" spans="1:24" ht="12.75">
      <c r="A82" s="13" t="s">
        <v>191</v>
      </c>
      <c r="B82" s="13"/>
      <c r="C82" s="5">
        <v>10582458</v>
      </c>
      <c r="E82" s="5">
        <v>52833020</v>
      </c>
      <c r="G82" s="5">
        <v>2636936</v>
      </c>
      <c r="I82" s="5">
        <f>1253184+835+7288593+2527317+32930</f>
        <v>11102859</v>
      </c>
      <c r="K82" s="5">
        <v>15034063</v>
      </c>
      <c r="L82" s="5">
        <v>0</v>
      </c>
      <c r="N82" s="5">
        <v>2227</v>
      </c>
      <c r="P82" s="5">
        <v>2319647</v>
      </c>
      <c r="R82" s="5">
        <f>17029+18727+19339+2212237</f>
        <v>2267332</v>
      </c>
      <c r="T82" s="5">
        <v>0</v>
      </c>
      <c r="V82" s="5">
        <f t="shared" si="2"/>
        <v>30726128</v>
      </c>
      <c r="X82" s="5">
        <f t="shared" si="1"/>
        <v>96778542</v>
      </c>
    </row>
    <row r="83" spans="1:24" ht="12.75">
      <c r="A83" s="13" t="s">
        <v>71</v>
      </c>
      <c r="B83" s="13"/>
      <c r="C83" s="5">
        <v>4320344</v>
      </c>
      <c r="E83" s="5">
        <v>20390121</v>
      </c>
      <c r="G83" s="5">
        <v>1403518</v>
      </c>
      <c r="I83" s="5">
        <f>708998+3191948+207475+1638234</f>
        <v>5746655</v>
      </c>
      <c r="K83" s="5">
        <v>10250454</v>
      </c>
      <c r="L83" s="5">
        <v>0</v>
      </c>
      <c r="N83" s="5">
        <v>1625737</v>
      </c>
      <c r="P83" s="5">
        <v>338511</v>
      </c>
      <c r="R83" s="5">
        <v>3106611</v>
      </c>
      <c r="T83" s="5">
        <v>400</v>
      </c>
      <c r="V83" s="5">
        <f t="shared" si="2"/>
        <v>21068368</v>
      </c>
      <c r="X83" s="5">
        <f t="shared" si="1"/>
        <v>47182351</v>
      </c>
    </row>
    <row r="84" spans="1:24" ht="12.75" hidden="1">
      <c r="A84" s="13" t="s">
        <v>72</v>
      </c>
      <c r="B84" s="13"/>
      <c r="C84" s="5" t="s">
        <v>190</v>
      </c>
      <c r="E84" s="5" t="s">
        <v>190</v>
      </c>
      <c r="G84" s="5" t="s">
        <v>190</v>
      </c>
      <c r="I84" s="5" t="s">
        <v>190</v>
      </c>
      <c r="K84" s="5" t="s">
        <v>190</v>
      </c>
      <c r="L84" s="5" t="s">
        <v>190</v>
      </c>
      <c r="N84" s="5" t="s">
        <v>190</v>
      </c>
      <c r="P84" s="5" t="s">
        <v>190</v>
      </c>
      <c r="R84" s="5" t="s">
        <v>190</v>
      </c>
      <c r="T84" s="5" t="s">
        <v>190</v>
      </c>
      <c r="V84" s="5">
        <f t="shared" si="2"/>
        <v>0</v>
      </c>
      <c r="X84" s="5">
        <f t="shared" si="1"/>
        <v>0</v>
      </c>
    </row>
    <row r="85" spans="1:24" ht="12.75" hidden="1">
      <c r="A85" s="13" t="s">
        <v>73</v>
      </c>
      <c r="B85" s="13"/>
      <c r="C85" s="5" t="s">
        <v>190</v>
      </c>
      <c r="E85" s="5" t="s">
        <v>190</v>
      </c>
      <c r="G85" s="5" t="s">
        <v>190</v>
      </c>
      <c r="I85" s="5" t="s">
        <v>190</v>
      </c>
      <c r="K85" s="5" t="s">
        <v>190</v>
      </c>
      <c r="L85" s="5" t="s">
        <v>190</v>
      </c>
      <c r="N85" s="5" t="s">
        <v>190</v>
      </c>
      <c r="P85" s="5" t="s">
        <v>190</v>
      </c>
      <c r="R85" s="5" t="s">
        <v>190</v>
      </c>
      <c r="T85" s="5" t="s">
        <v>190</v>
      </c>
      <c r="V85" s="5">
        <f t="shared" si="2"/>
        <v>0</v>
      </c>
      <c r="X85" s="5">
        <f t="shared" si="1"/>
        <v>0</v>
      </c>
    </row>
    <row r="86" spans="1:24" ht="12.75" hidden="1">
      <c r="A86" s="13" t="s">
        <v>74</v>
      </c>
      <c r="B86" s="13"/>
      <c r="C86" s="5" t="s">
        <v>190</v>
      </c>
      <c r="E86" s="5" t="s">
        <v>190</v>
      </c>
      <c r="G86" s="5" t="s">
        <v>190</v>
      </c>
      <c r="I86" s="5" t="s">
        <v>190</v>
      </c>
      <c r="K86" s="5" t="s">
        <v>190</v>
      </c>
      <c r="L86" s="5" t="s">
        <v>190</v>
      </c>
      <c r="N86" s="5" t="s">
        <v>190</v>
      </c>
      <c r="P86" s="5" t="s">
        <v>190</v>
      </c>
      <c r="R86" s="5" t="s">
        <v>190</v>
      </c>
      <c r="T86" s="5" t="s">
        <v>190</v>
      </c>
      <c r="V86" s="5">
        <f t="shared" si="2"/>
        <v>0</v>
      </c>
      <c r="X86" s="5">
        <f t="shared" si="1"/>
        <v>0</v>
      </c>
    </row>
    <row r="87" spans="1:24" ht="12.75" hidden="1">
      <c r="A87" s="13" t="s">
        <v>75</v>
      </c>
      <c r="B87" s="13"/>
      <c r="C87" s="5" t="s">
        <v>190</v>
      </c>
      <c r="E87" s="5" t="s">
        <v>190</v>
      </c>
      <c r="G87" s="5" t="s">
        <v>190</v>
      </c>
      <c r="I87" s="5" t="s">
        <v>190</v>
      </c>
      <c r="K87" s="5" t="s">
        <v>190</v>
      </c>
      <c r="L87" s="5" t="s">
        <v>190</v>
      </c>
      <c r="N87" s="5" t="s">
        <v>190</v>
      </c>
      <c r="P87" s="5" t="s">
        <v>190</v>
      </c>
      <c r="R87" s="5" t="s">
        <v>190</v>
      </c>
      <c r="T87" s="5" t="s">
        <v>190</v>
      </c>
      <c r="V87" s="5">
        <f t="shared" si="2"/>
        <v>0</v>
      </c>
      <c r="X87" s="5">
        <f t="shared" si="1"/>
        <v>0</v>
      </c>
    </row>
    <row r="88" spans="1:24" ht="12.75">
      <c r="A88" s="13" t="s">
        <v>76</v>
      </c>
      <c r="B88" s="13"/>
      <c r="C88" s="5">
        <v>24668328</v>
      </c>
      <c r="E88" s="5">
        <v>106609570</v>
      </c>
      <c r="G88" s="5">
        <v>9717280</v>
      </c>
      <c r="I88" s="5">
        <f>12822390+18597482+512424+5160639+5420396</f>
        <v>42513331</v>
      </c>
      <c r="K88" s="5">
        <v>0</v>
      </c>
      <c r="L88" s="5">
        <v>0</v>
      </c>
      <c r="N88" s="5">
        <v>13146256</v>
      </c>
      <c r="P88" s="5">
        <v>3921066</v>
      </c>
      <c r="R88" s="5">
        <f>5124064+16138</f>
        <v>5140202</v>
      </c>
      <c r="T88" s="5">
        <v>4140967</v>
      </c>
      <c r="V88" s="5">
        <f t="shared" si="2"/>
        <v>68861822</v>
      </c>
      <c r="X88" s="5">
        <f t="shared" si="1"/>
        <v>209857000</v>
      </c>
    </row>
    <row r="89" spans="1:24" ht="12.75">
      <c r="A89" s="13" t="s">
        <v>77</v>
      </c>
      <c r="B89" s="13"/>
      <c r="C89" s="5">
        <v>41454712</v>
      </c>
      <c r="E89" s="5">
        <v>156296385</v>
      </c>
      <c r="G89" s="5">
        <v>0</v>
      </c>
      <c r="I89" s="5">
        <f>125268068+5187233</f>
        <v>130455301</v>
      </c>
      <c r="K89" s="5">
        <v>33062542</v>
      </c>
      <c r="L89" s="5">
        <v>11484956</v>
      </c>
      <c r="N89" s="5">
        <v>13949344</v>
      </c>
      <c r="P89" s="5">
        <v>9851578</v>
      </c>
      <c r="R89" s="5">
        <v>1252908</v>
      </c>
      <c r="T89" s="5">
        <v>91807</v>
      </c>
      <c r="V89" s="5">
        <f t="shared" si="2"/>
        <v>200148436</v>
      </c>
      <c r="X89" s="5">
        <f t="shared" si="1"/>
        <v>397899533</v>
      </c>
    </row>
    <row r="90" spans="1:24" ht="12.75">
      <c r="A90" s="13" t="s">
        <v>78</v>
      </c>
      <c r="B90" s="13"/>
      <c r="C90" s="5">
        <v>15082735</v>
      </c>
      <c r="E90" s="5">
        <v>74981248</v>
      </c>
      <c r="G90" s="5">
        <v>4200505</v>
      </c>
      <c r="I90" s="5">
        <f>6647589+10638700+2156476+5584286+438312</f>
        <v>25465363</v>
      </c>
      <c r="K90" s="5">
        <f>6654324+2925482+61779</f>
        <v>9641585</v>
      </c>
      <c r="L90" s="5">
        <v>0</v>
      </c>
      <c r="N90" s="5">
        <v>6676570</v>
      </c>
      <c r="P90" s="5">
        <v>2698843</v>
      </c>
      <c r="R90" s="5">
        <v>76594</v>
      </c>
      <c r="T90" s="5">
        <v>1120378</v>
      </c>
      <c r="V90" s="5">
        <f t="shared" si="2"/>
        <v>45679333</v>
      </c>
      <c r="X90" s="5">
        <f t="shared" si="1"/>
        <v>139943821</v>
      </c>
    </row>
    <row r="91" spans="1:24" ht="12.75">
      <c r="A91" s="13" t="s">
        <v>79</v>
      </c>
      <c r="B91" s="13"/>
      <c r="C91" s="5">
        <v>7273575</v>
      </c>
      <c r="E91" s="5">
        <v>18777385</v>
      </c>
      <c r="G91" s="5">
        <v>1077809</v>
      </c>
      <c r="I91" s="5">
        <f>3126640+5843859</f>
        <v>8970499</v>
      </c>
      <c r="K91" s="5">
        <v>9040344</v>
      </c>
      <c r="L91" s="5">
        <v>0</v>
      </c>
      <c r="N91" s="5">
        <v>2220324</v>
      </c>
      <c r="P91" s="5">
        <v>1530361</v>
      </c>
      <c r="R91" s="5">
        <v>669757</v>
      </c>
      <c r="T91" s="5">
        <v>0</v>
      </c>
      <c r="V91" s="5">
        <f t="shared" si="2"/>
        <v>22431285</v>
      </c>
      <c r="X91" s="5">
        <f t="shared" si="1"/>
        <v>49560054</v>
      </c>
    </row>
    <row r="92" spans="1:24" ht="12.75" hidden="1">
      <c r="A92" s="13" t="s">
        <v>80</v>
      </c>
      <c r="B92" s="13"/>
      <c r="C92" s="5" t="s">
        <v>190</v>
      </c>
      <c r="E92" s="5" t="s">
        <v>190</v>
      </c>
      <c r="G92" s="5" t="s">
        <v>190</v>
      </c>
      <c r="I92" s="5" t="s">
        <v>190</v>
      </c>
      <c r="K92" s="5" t="s">
        <v>190</v>
      </c>
      <c r="L92" s="5" t="s">
        <v>190</v>
      </c>
      <c r="N92" s="5" t="s">
        <v>190</v>
      </c>
      <c r="P92" s="5" t="s">
        <v>190</v>
      </c>
      <c r="R92" s="5" t="s">
        <v>190</v>
      </c>
      <c r="T92" s="5" t="s">
        <v>190</v>
      </c>
      <c r="V92" s="5">
        <f t="shared" si="2"/>
        <v>0</v>
      </c>
      <c r="X92" s="5">
        <f t="shared" si="1"/>
        <v>0</v>
      </c>
    </row>
    <row r="93" spans="1:24" ht="12.75" hidden="1">
      <c r="A93" s="13" t="s">
        <v>81</v>
      </c>
      <c r="B93" s="13"/>
      <c r="C93" s="5" t="s">
        <v>190</v>
      </c>
      <c r="E93" s="5" t="s">
        <v>190</v>
      </c>
      <c r="G93" s="5" t="s">
        <v>190</v>
      </c>
      <c r="I93" s="5" t="s">
        <v>190</v>
      </c>
      <c r="K93" s="5" t="s">
        <v>190</v>
      </c>
      <c r="L93" s="5" t="s">
        <v>190</v>
      </c>
      <c r="N93" s="5" t="s">
        <v>190</v>
      </c>
      <c r="P93" s="5" t="s">
        <v>190</v>
      </c>
      <c r="R93" s="5" t="s">
        <v>190</v>
      </c>
      <c r="T93" s="5" t="s">
        <v>190</v>
      </c>
      <c r="V93" s="5">
        <f aca="true" t="shared" si="3" ref="V93:V99">SUM(I93:T93)</f>
        <v>0</v>
      </c>
      <c r="X93" s="5">
        <f aca="true" t="shared" si="4" ref="X93:X99">SUM(B93:U93)</f>
        <v>0</v>
      </c>
    </row>
    <row r="94" spans="1:24" ht="12.75" hidden="1">
      <c r="A94" s="13" t="s">
        <v>82</v>
      </c>
      <c r="B94" s="13"/>
      <c r="C94" s="5" t="s">
        <v>190</v>
      </c>
      <c r="E94" s="5" t="s">
        <v>190</v>
      </c>
      <c r="G94" s="5" t="s">
        <v>190</v>
      </c>
      <c r="I94" s="5" t="s">
        <v>190</v>
      </c>
      <c r="K94" s="5" t="s">
        <v>190</v>
      </c>
      <c r="L94" s="5" t="s">
        <v>190</v>
      </c>
      <c r="N94" s="5" t="s">
        <v>190</v>
      </c>
      <c r="P94" s="5" t="s">
        <v>190</v>
      </c>
      <c r="R94" s="5" t="s">
        <v>190</v>
      </c>
      <c r="T94" s="5" t="s">
        <v>190</v>
      </c>
      <c r="V94" s="5">
        <f t="shared" si="3"/>
        <v>0</v>
      </c>
      <c r="X94" s="5">
        <f t="shared" si="4"/>
        <v>0</v>
      </c>
    </row>
    <row r="95" spans="1:24" ht="12.75" hidden="1">
      <c r="A95" s="13" t="s">
        <v>83</v>
      </c>
      <c r="B95" s="13"/>
      <c r="C95" s="5" t="s">
        <v>190</v>
      </c>
      <c r="E95" s="5" t="s">
        <v>190</v>
      </c>
      <c r="G95" s="5" t="s">
        <v>190</v>
      </c>
      <c r="I95" s="5" t="s">
        <v>190</v>
      </c>
      <c r="K95" s="5" t="s">
        <v>190</v>
      </c>
      <c r="L95" s="5" t="s">
        <v>190</v>
      </c>
      <c r="N95" s="5" t="s">
        <v>190</v>
      </c>
      <c r="P95" s="5" t="s">
        <v>190</v>
      </c>
      <c r="R95" s="5" t="s">
        <v>190</v>
      </c>
      <c r="T95" s="5" t="s">
        <v>190</v>
      </c>
      <c r="V95" s="5">
        <f t="shared" si="3"/>
        <v>0</v>
      </c>
      <c r="X95" s="5">
        <f t="shared" si="4"/>
        <v>0</v>
      </c>
    </row>
    <row r="96" spans="1:24" ht="12.75" hidden="1">
      <c r="A96" s="13" t="s">
        <v>84</v>
      </c>
      <c r="B96" s="13"/>
      <c r="C96" s="5" t="s">
        <v>190</v>
      </c>
      <c r="E96" s="5" t="s">
        <v>190</v>
      </c>
      <c r="G96" s="5" t="s">
        <v>190</v>
      </c>
      <c r="I96" s="5" t="s">
        <v>190</v>
      </c>
      <c r="K96" s="5" t="s">
        <v>190</v>
      </c>
      <c r="L96" s="5" t="s">
        <v>190</v>
      </c>
      <c r="N96" s="5" t="s">
        <v>190</v>
      </c>
      <c r="P96" s="5" t="s">
        <v>190</v>
      </c>
      <c r="R96" s="5" t="s">
        <v>190</v>
      </c>
      <c r="T96" s="5" t="s">
        <v>190</v>
      </c>
      <c r="V96" s="5">
        <f t="shared" si="3"/>
        <v>0</v>
      </c>
      <c r="X96" s="5">
        <f t="shared" si="4"/>
        <v>0</v>
      </c>
    </row>
    <row r="97" spans="1:24" ht="12.75">
      <c r="A97" s="13" t="s">
        <v>85</v>
      </c>
      <c r="B97" s="13"/>
      <c r="C97" s="5">
        <v>9363848</v>
      </c>
      <c r="E97" s="5">
        <v>22682067</v>
      </c>
      <c r="G97" s="5">
        <v>856439</v>
      </c>
      <c r="I97" s="5">
        <f>3187655+6182867+1576099+1043755</f>
        <v>11990376</v>
      </c>
      <c r="K97" s="5">
        <v>8798061</v>
      </c>
      <c r="L97" s="5">
        <v>0</v>
      </c>
      <c r="N97" s="5">
        <v>4148750</v>
      </c>
      <c r="P97" s="5">
        <v>1749959</v>
      </c>
      <c r="R97" s="5">
        <f>1609326-134696</f>
        <v>1474630</v>
      </c>
      <c r="T97" s="5">
        <v>0</v>
      </c>
      <c r="V97" s="5">
        <f t="shared" si="3"/>
        <v>28161776</v>
      </c>
      <c r="X97" s="5">
        <f t="shared" si="4"/>
        <v>61064130</v>
      </c>
    </row>
    <row r="98" spans="1:24" ht="12.75" hidden="1">
      <c r="A98" s="13" t="s">
        <v>184</v>
      </c>
      <c r="B98" s="13"/>
      <c r="C98" s="5" t="s">
        <v>190</v>
      </c>
      <c r="E98" s="5" t="s">
        <v>190</v>
      </c>
      <c r="G98" s="5" t="s">
        <v>190</v>
      </c>
      <c r="I98" s="5" t="s">
        <v>190</v>
      </c>
      <c r="K98" s="5" t="s">
        <v>190</v>
      </c>
      <c r="L98" s="5" t="s">
        <v>190</v>
      </c>
      <c r="N98" s="5" t="s">
        <v>190</v>
      </c>
      <c r="P98" s="5" t="s">
        <v>190</v>
      </c>
      <c r="R98" s="5" t="s">
        <v>190</v>
      </c>
      <c r="T98" s="5" t="s">
        <v>190</v>
      </c>
      <c r="V98" s="5">
        <f t="shared" si="3"/>
        <v>0</v>
      </c>
      <c r="X98" s="5">
        <f t="shared" si="4"/>
        <v>0</v>
      </c>
    </row>
    <row r="99" spans="1:24" ht="12.75">
      <c r="A99" s="13" t="s">
        <v>86</v>
      </c>
      <c r="B99" s="13"/>
      <c r="C99" s="5">
        <v>17256136</v>
      </c>
      <c r="E99" s="5">
        <v>31033725</v>
      </c>
      <c r="G99" s="5">
        <v>1301785</v>
      </c>
      <c r="I99" s="5">
        <f>5032933+3622492+2354615+10714148+676160+107249</f>
        <v>22507597</v>
      </c>
      <c r="K99" s="5">
        <v>13937186</v>
      </c>
      <c r="L99" s="5">
        <v>196831</v>
      </c>
      <c r="N99" s="5">
        <v>5178413</v>
      </c>
      <c r="P99" s="5">
        <v>4424848</v>
      </c>
      <c r="R99" s="5">
        <v>731538</v>
      </c>
      <c r="T99" s="5">
        <v>0</v>
      </c>
      <c r="V99" s="5">
        <f t="shared" si="3"/>
        <v>46976413</v>
      </c>
      <c r="X99" s="5">
        <f t="shared" si="4"/>
        <v>96568059</v>
      </c>
    </row>
    <row r="100" spans="1:24" ht="12.75" hidden="1">
      <c r="A100" s="13" t="s">
        <v>185</v>
      </c>
      <c r="B100" s="13"/>
      <c r="C100" s="5" t="s">
        <v>190</v>
      </c>
      <c r="E100" s="5" t="s">
        <v>190</v>
      </c>
      <c r="G100" s="5" t="s">
        <v>190</v>
      </c>
      <c r="I100" s="5" t="s">
        <v>190</v>
      </c>
      <c r="K100" s="5" t="s">
        <v>190</v>
      </c>
      <c r="L100" s="5" t="s">
        <v>190</v>
      </c>
      <c r="N100" s="5" t="s">
        <v>190</v>
      </c>
      <c r="P100" s="5" t="s">
        <v>190</v>
      </c>
      <c r="R100" s="5" t="s">
        <v>190</v>
      </c>
      <c r="T100" s="5" t="s">
        <v>190</v>
      </c>
      <c r="X100" s="5" t="s">
        <v>190</v>
      </c>
    </row>
    <row r="101" spans="1:2" ht="12.75">
      <c r="A101" s="13"/>
      <c r="B101" s="13"/>
    </row>
    <row r="102" spans="1:2" ht="12.75">
      <c r="A102" s="13"/>
      <c r="B102" s="13"/>
    </row>
  </sheetData>
  <printOptions horizontalCentered="1"/>
  <pageMargins left="1" right="1" top="0.5" bottom="0.5" header="0" footer="0.25"/>
  <pageSetup firstPageNumber="6" useFirstPageNumber="1" horizontalDpi="600" verticalDpi="600" orientation="portrait" pageOrder="overThenDown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workbookViewId="0" topLeftCell="A1">
      <selection activeCell="G27" sqref="G27"/>
    </sheetView>
  </sheetViews>
  <sheetFormatPr defaultColWidth="9.140625" defaultRowHeight="12.75"/>
  <cols>
    <col min="1" max="1" width="10.421875" style="2" customWidth="1"/>
    <col min="2" max="2" width="1.7109375" style="2" customWidth="1"/>
    <col min="3" max="3" width="11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0.562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2.7109375" style="2" customWidth="1"/>
    <col min="29" max="29" width="11.7109375" style="2" hidden="1" customWidth="1"/>
    <col min="30" max="30" width="2.7109375" style="2" hidden="1" customWidth="1"/>
    <col min="31" max="31" width="12.7109375" style="2" hidden="1" customWidth="1"/>
    <col min="32" max="32" width="2.7109375" style="2" hidden="1" customWidth="1"/>
    <col min="33" max="34" width="12.7109375" style="2" hidden="1" customWidth="1"/>
    <col min="35" max="35" width="11.7109375" style="2" customWidth="1"/>
    <col min="36" max="36" width="9.140625" style="2" customWidth="1"/>
    <col min="37" max="37" width="11.7109375" style="2" customWidth="1"/>
    <col min="38" max="38" width="9.140625" style="2" customWidth="1"/>
    <col min="39" max="39" width="11.7109375" style="2" customWidth="1"/>
    <col min="40" max="40" width="9.140625" style="2" customWidth="1"/>
    <col min="41" max="41" width="11.7109375" style="2" customWidth="1"/>
    <col min="42" max="42" width="9.140625" style="2" customWidth="1"/>
    <col min="43" max="43" width="11.7109375" style="2" customWidth="1"/>
    <col min="44" max="44" width="9.140625" style="2" customWidth="1"/>
    <col min="45" max="45" width="11.7109375" style="2" customWidth="1"/>
    <col min="46" max="46" width="9.140625" style="2" customWidth="1"/>
    <col min="47" max="47" width="11.7109375" style="2" customWidth="1"/>
    <col min="48" max="16384" width="9.140625" style="2" customWidth="1"/>
  </cols>
  <sheetData>
    <row r="1" spans="1:33" ht="12">
      <c r="A1" s="118" t="s">
        <v>239</v>
      </c>
      <c r="B1" s="118"/>
      <c r="C1" s="118"/>
      <c r="D1" s="118"/>
      <c r="E1" s="118"/>
      <c r="F1" s="118"/>
      <c r="G1" s="118"/>
      <c r="H1" s="11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">
      <c r="A2" s="1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1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">
      <c r="A4" s="1" t="s">
        <v>243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12">
      <c r="B6" s="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49"/>
      <c r="AA6" s="36" t="s">
        <v>3</v>
      </c>
      <c r="AB6" s="5"/>
      <c r="AC6" s="5"/>
      <c r="AD6" s="5"/>
      <c r="AE6" s="5"/>
      <c r="AF6" s="5"/>
      <c r="AG6" s="5"/>
    </row>
    <row r="7" spans="1:33" ht="12">
      <c r="A7" s="3"/>
      <c r="B7" s="5"/>
      <c r="C7" s="32" t="s">
        <v>198</v>
      </c>
      <c r="D7" s="32"/>
      <c r="E7" s="32"/>
      <c r="F7" s="32"/>
      <c r="G7" s="32" t="s">
        <v>87</v>
      </c>
      <c r="H7" s="32"/>
      <c r="I7" s="32" t="s">
        <v>87</v>
      </c>
      <c r="J7" s="32"/>
      <c r="K7" s="32"/>
      <c r="L7" s="32"/>
      <c r="M7" s="32" t="s">
        <v>88</v>
      </c>
      <c r="N7" s="32"/>
      <c r="O7" s="32" t="s">
        <v>161</v>
      </c>
      <c r="P7" s="32"/>
      <c r="Q7" s="32" t="s">
        <v>89</v>
      </c>
      <c r="R7" s="32"/>
      <c r="S7" s="32" t="s">
        <v>160</v>
      </c>
      <c r="T7" s="32"/>
      <c r="U7" s="32" t="s">
        <v>1</v>
      </c>
      <c r="V7" s="32"/>
      <c r="W7" s="35" t="s">
        <v>102</v>
      </c>
      <c r="X7" s="35"/>
      <c r="Y7" s="82" t="s">
        <v>224</v>
      </c>
      <c r="Z7" s="35"/>
      <c r="AA7" s="84" t="s">
        <v>260</v>
      </c>
      <c r="AB7" s="35"/>
      <c r="AC7" s="35" t="s">
        <v>151</v>
      </c>
      <c r="AD7" s="35"/>
      <c r="AE7" s="35" t="s">
        <v>142</v>
      </c>
      <c r="AF7" s="35"/>
      <c r="AG7" s="35" t="s">
        <v>142</v>
      </c>
    </row>
    <row r="8" spans="1:33" ht="12">
      <c r="A8" s="4" t="s">
        <v>4</v>
      </c>
      <c r="B8" s="5"/>
      <c r="C8" s="43" t="s">
        <v>199</v>
      </c>
      <c r="D8" s="5"/>
      <c r="E8" s="43" t="s">
        <v>91</v>
      </c>
      <c r="F8" s="5"/>
      <c r="G8" s="43" t="s">
        <v>92</v>
      </c>
      <c r="H8" s="5"/>
      <c r="I8" s="43" t="s">
        <v>93</v>
      </c>
      <c r="J8" s="5"/>
      <c r="K8" s="43" t="s">
        <v>94</v>
      </c>
      <c r="L8" s="5"/>
      <c r="M8" s="43" t="s">
        <v>7</v>
      </c>
      <c r="N8" s="5"/>
      <c r="O8" s="43" t="s">
        <v>162</v>
      </c>
      <c r="P8" s="5"/>
      <c r="Q8" s="43" t="s">
        <v>203</v>
      </c>
      <c r="R8" s="5"/>
      <c r="S8" s="43" t="s">
        <v>234</v>
      </c>
      <c r="T8" s="5"/>
      <c r="U8" s="43" t="s">
        <v>8</v>
      </c>
      <c r="V8" s="5"/>
      <c r="W8" s="41" t="s">
        <v>98</v>
      </c>
      <c r="X8" s="5"/>
      <c r="Y8" s="83" t="s">
        <v>215</v>
      </c>
      <c r="Z8" s="5"/>
      <c r="AA8" s="83" t="s">
        <v>113</v>
      </c>
      <c r="AB8" s="5"/>
      <c r="AC8" s="41" t="s">
        <v>142</v>
      </c>
      <c r="AD8" s="5"/>
      <c r="AE8" s="50">
        <v>37622</v>
      </c>
      <c r="AF8" s="5"/>
      <c r="AG8" s="50">
        <v>37986</v>
      </c>
    </row>
    <row r="9" spans="1:33" s="90" customFormat="1" ht="12">
      <c r="A9" s="56"/>
      <c r="B9" s="55"/>
      <c r="C9" s="57"/>
      <c r="D9" s="55"/>
      <c r="E9" s="57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1"/>
      <c r="X9" s="55"/>
      <c r="Y9" s="2"/>
      <c r="Z9" s="55"/>
      <c r="AA9" s="51"/>
      <c r="AB9" s="55"/>
      <c r="AC9" s="51"/>
      <c r="AD9" s="55"/>
      <c r="AE9" s="58"/>
      <c r="AF9" s="55"/>
      <c r="AG9" s="58"/>
    </row>
    <row r="10" spans="1:34" s="90" customFormat="1" ht="12" hidden="1">
      <c r="A10" s="54" t="s">
        <v>12</v>
      </c>
      <c r="B10" s="55"/>
      <c r="C10" s="55" t="s">
        <v>190</v>
      </c>
      <c r="D10" s="55"/>
      <c r="E10" s="55" t="s">
        <v>190</v>
      </c>
      <c r="F10" s="55"/>
      <c r="G10" s="55" t="s">
        <v>190</v>
      </c>
      <c r="H10" s="55"/>
      <c r="I10" s="55" t="s">
        <v>190</v>
      </c>
      <c r="J10" s="55"/>
      <c r="K10" s="55" t="s">
        <v>190</v>
      </c>
      <c r="L10" s="55"/>
      <c r="M10" s="55" t="s">
        <v>190</v>
      </c>
      <c r="N10" s="55"/>
      <c r="O10" s="55" t="s">
        <v>190</v>
      </c>
      <c r="P10" s="55"/>
      <c r="Q10" s="55" t="s">
        <v>190</v>
      </c>
      <c r="R10" s="55"/>
      <c r="S10" s="55" t="s">
        <v>190</v>
      </c>
      <c r="T10" s="55"/>
      <c r="U10" s="55" t="s">
        <v>190</v>
      </c>
      <c r="V10" s="55"/>
      <c r="W10" s="55" t="s">
        <v>190</v>
      </c>
      <c r="X10" s="55"/>
      <c r="Y10" s="2"/>
      <c r="Z10" s="55"/>
      <c r="AA10" s="55" t="s">
        <v>190</v>
      </c>
      <c r="AB10" s="55"/>
      <c r="AC10" s="55" t="e">
        <f>+'St of Activities - GA Rev'!X13-'St of Activities - GA Exp'!AA10</f>
        <v>#VALUE!</v>
      </c>
      <c r="AD10" s="55"/>
      <c r="AE10" s="55" t="s">
        <v>190</v>
      </c>
      <c r="AF10" s="55"/>
      <c r="AG10" s="55" t="s">
        <v>190</v>
      </c>
      <c r="AH10" s="55" t="e">
        <f>+'St of Net Assets - GA'!W11-'St of Activities - GA Exp'!AG10</f>
        <v>#VALUE!</v>
      </c>
    </row>
    <row r="11" spans="1:34" s="90" customFormat="1" ht="12" hidden="1">
      <c r="A11" s="54" t="s">
        <v>13</v>
      </c>
      <c r="B11" s="55"/>
      <c r="C11" s="55" t="s">
        <v>190</v>
      </c>
      <c r="D11" s="55"/>
      <c r="E11" s="55" t="s">
        <v>190</v>
      </c>
      <c r="F11" s="55"/>
      <c r="G11" s="55" t="s">
        <v>190</v>
      </c>
      <c r="H11" s="55"/>
      <c r="I11" s="55" t="s">
        <v>190</v>
      </c>
      <c r="J11" s="55"/>
      <c r="K11" s="55" t="s">
        <v>190</v>
      </c>
      <c r="L11" s="55"/>
      <c r="M11" s="55" t="s">
        <v>190</v>
      </c>
      <c r="N11" s="55"/>
      <c r="O11" s="55" t="s">
        <v>190</v>
      </c>
      <c r="P11" s="55"/>
      <c r="Q11" s="55" t="s">
        <v>190</v>
      </c>
      <c r="R11" s="55"/>
      <c r="S11" s="55" t="s">
        <v>190</v>
      </c>
      <c r="T11" s="55"/>
      <c r="U11" s="55" t="s">
        <v>190</v>
      </c>
      <c r="V11" s="55"/>
      <c r="W11" s="55" t="s">
        <v>190</v>
      </c>
      <c r="X11" s="55"/>
      <c r="Y11" s="2"/>
      <c r="Z11" s="55"/>
      <c r="AA11" s="55" t="s">
        <v>190</v>
      </c>
      <c r="AB11" s="55"/>
      <c r="AC11" s="55" t="e">
        <f>+'St of Activities - GA Rev'!X14-'St of Activities - GA Exp'!AA11</f>
        <v>#VALUE!</v>
      </c>
      <c r="AD11" s="55"/>
      <c r="AE11" s="55" t="s">
        <v>190</v>
      </c>
      <c r="AF11" s="55"/>
      <c r="AG11" s="55" t="s">
        <v>190</v>
      </c>
      <c r="AH11" s="55" t="e">
        <f>+'St of Net Assets - GA'!W12-'St of Activities - GA Exp'!AG11</f>
        <v>#VALUE!</v>
      </c>
    </row>
    <row r="12" spans="1:34" s="90" customFormat="1" ht="12" hidden="1">
      <c r="A12" s="54" t="s">
        <v>14</v>
      </c>
      <c r="B12" s="55"/>
      <c r="C12" s="55" t="s">
        <v>190</v>
      </c>
      <c r="D12" s="55"/>
      <c r="E12" s="55" t="s">
        <v>190</v>
      </c>
      <c r="F12" s="55"/>
      <c r="G12" s="55" t="s">
        <v>190</v>
      </c>
      <c r="H12" s="55"/>
      <c r="I12" s="55" t="s">
        <v>190</v>
      </c>
      <c r="J12" s="55"/>
      <c r="K12" s="55" t="s">
        <v>190</v>
      </c>
      <c r="L12" s="55"/>
      <c r="M12" s="55" t="s">
        <v>190</v>
      </c>
      <c r="N12" s="55"/>
      <c r="O12" s="55" t="s">
        <v>190</v>
      </c>
      <c r="P12" s="55"/>
      <c r="Q12" s="55" t="s">
        <v>190</v>
      </c>
      <c r="R12" s="55"/>
      <c r="S12" s="55" t="s">
        <v>190</v>
      </c>
      <c r="T12" s="55"/>
      <c r="U12" s="55" t="s">
        <v>190</v>
      </c>
      <c r="V12" s="55"/>
      <c r="W12" s="55" t="s">
        <v>190</v>
      </c>
      <c r="X12" s="55"/>
      <c r="Y12" s="2"/>
      <c r="Z12" s="55"/>
      <c r="AA12" s="55" t="s">
        <v>190</v>
      </c>
      <c r="AB12" s="55"/>
      <c r="AC12" s="55" t="e">
        <f>+'St of Activities - GA Rev'!X15-'St of Activities - GA Exp'!AA12</f>
        <v>#VALUE!</v>
      </c>
      <c r="AD12" s="55"/>
      <c r="AE12" s="55" t="s">
        <v>190</v>
      </c>
      <c r="AF12" s="55"/>
      <c r="AG12" s="55" t="s">
        <v>190</v>
      </c>
      <c r="AH12" s="55" t="e">
        <f>+'St of Net Assets - GA'!W13-'St of Activities - GA Exp'!AG12</f>
        <v>#VALUE!</v>
      </c>
    </row>
    <row r="13" spans="1:34" s="90" customFormat="1" ht="12" hidden="1">
      <c r="A13" s="54" t="s">
        <v>15</v>
      </c>
      <c r="B13" s="55"/>
      <c r="C13" s="55" t="s">
        <v>190</v>
      </c>
      <c r="D13" s="55"/>
      <c r="E13" s="55" t="s">
        <v>190</v>
      </c>
      <c r="F13" s="55"/>
      <c r="G13" s="55" t="s">
        <v>190</v>
      </c>
      <c r="H13" s="55"/>
      <c r="I13" s="55" t="s">
        <v>190</v>
      </c>
      <c r="J13" s="55"/>
      <c r="K13" s="55" t="s">
        <v>190</v>
      </c>
      <c r="L13" s="55"/>
      <c r="M13" s="55" t="s">
        <v>190</v>
      </c>
      <c r="N13" s="55"/>
      <c r="O13" s="55" t="s">
        <v>190</v>
      </c>
      <c r="P13" s="55"/>
      <c r="Q13" s="55" t="s">
        <v>190</v>
      </c>
      <c r="R13" s="55"/>
      <c r="S13" s="55" t="s">
        <v>190</v>
      </c>
      <c r="T13" s="55"/>
      <c r="U13" s="55" t="s">
        <v>190</v>
      </c>
      <c r="V13" s="55"/>
      <c r="W13" s="55" t="s">
        <v>190</v>
      </c>
      <c r="X13" s="55"/>
      <c r="Y13" s="2"/>
      <c r="Z13" s="55"/>
      <c r="AA13" s="55" t="s">
        <v>190</v>
      </c>
      <c r="AB13" s="55"/>
      <c r="AC13" s="55" t="e">
        <f>+'St of Activities - GA Rev'!X16-'St of Activities - GA Exp'!AA13</f>
        <v>#VALUE!</v>
      </c>
      <c r="AD13" s="55"/>
      <c r="AE13" s="55" t="s">
        <v>190</v>
      </c>
      <c r="AF13" s="55"/>
      <c r="AG13" s="55" t="s">
        <v>190</v>
      </c>
      <c r="AH13" s="55" t="e">
        <f>+'St of Net Assets - GA'!W14-'St of Activities - GA Exp'!AG13</f>
        <v>#VALUE!</v>
      </c>
    </row>
    <row r="14" spans="1:34" s="90" customFormat="1" ht="12" hidden="1">
      <c r="A14" s="54" t="s">
        <v>16</v>
      </c>
      <c r="B14" s="55"/>
      <c r="C14" s="55" t="s">
        <v>190</v>
      </c>
      <c r="D14" s="55"/>
      <c r="E14" s="55" t="s">
        <v>190</v>
      </c>
      <c r="F14" s="55"/>
      <c r="G14" s="55" t="s">
        <v>190</v>
      </c>
      <c r="H14" s="55"/>
      <c r="I14" s="55" t="s">
        <v>190</v>
      </c>
      <c r="J14" s="55"/>
      <c r="K14" s="55" t="s">
        <v>190</v>
      </c>
      <c r="L14" s="55"/>
      <c r="M14" s="55" t="s">
        <v>190</v>
      </c>
      <c r="N14" s="55"/>
      <c r="O14" s="55" t="s">
        <v>190</v>
      </c>
      <c r="P14" s="55"/>
      <c r="Q14" s="55" t="s">
        <v>190</v>
      </c>
      <c r="R14" s="55"/>
      <c r="S14" s="55" t="s">
        <v>190</v>
      </c>
      <c r="T14" s="55"/>
      <c r="U14" s="55" t="s">
        <v>190</v>
      </c>
      <c r="V14" s="55"/>
      <c r="W14" s="55" t="s">
        <v>190</v>
      </c>
      <c r="X14" s="55"/>
      <c r="Y14" s="2"/>
      <c r="Z14" s="55"/>
      <c r="AA14" s="55" t="s">
        <v>190</v>
      </c>
      <c r="AB14" s="55"/>
      <c r="AC14" s="55" t="e">
        <f>+'St of Activities - GA Rev'!X17-'St of Activities - GA Exp'!AA14</f>
        <v>#VALUE!</v>
      </c>
      <c r="AD14" s="55"/>
      <c r="AE14" s="55" t="s">
        <v>190</v>
      </c>
      <c r="AF14" s="55"/>
      <c r="AG14" s="55" t="s">
        <v>190</v>
      </c>
      <c r="AH14" s="55" t="e">
        <f>+'St of Net Assets - GA'!W15-'St of Activities - GA Exp'!AG14</f>
        <v>#VALUE!</v>
      </c>
    </row>
    <row r="15" spans="1:34" s="90" customFormat="1" ht="12" hidden="1">
      <c r="A15" s="54" t="s">
        <v>17</v>
      </c>
      <c r="B15" s="55"/>
      <c r="C15" s="55" t="s">
        <v>190</v>
      </c>
      <c r="D15" s="55"/>
      <c r="E15" s="55" t="s">
        <v>190</v>
      </c>
      <c r="F15" s="55"/>
      <c r="G15" s="55" t="s">
        <v>190</v>
      </c>
      <c r="H15" s="55"/>
      <c r="I15" s="55" t="s">
        <v>190</v>
      </c>
      <c r="J15" s="55"/>
      <c r="K15" s="55" t="s">
        <v>190</v>
      </c>
      <c r="L15" s="55"/>
      <c r="M15" s="55" t="s">
        <v>190</v>
      </c>
      <c r="N15" s="55"/>
      <c r="O15" s="55" t="s">
        <v>190</v>
      </c>
      <c r="P15" s="55"/>
      <c r="Q15" s="55" t="s">
        <v>190</v>
      </c>
      <c r="R15" s="55"/>
      <c r="S15" s="55" t="s">
        <v>190</v>
      </c>
      <c r="T15" s="55"/>
      <c r="U15" s="55" t="s">
        <v>190</v>
      </c>
      <c r="V15" s="55"/>
      <c r="W15" s="55" t="s">
        <v>190</v>
      </c>
      <c r="X15" s="55"/>
      <c r="Y15" s="2"/>
      <c r="Z15" s="55"/>
      <c r="AA15" s="55" t="s">
        <v>190</v>
      </c>
      <c r="AB15" s="55"/>
      <c r="AC15" s="55" t="e">
        <f>+'St of Activities - GA Rev'!X18-'St of Activities - GA Exp'!AA15</f>
        <v>#VALUE!</v>
      </c>
      <c r="AD15" s="55"/>
      <c r="AE15" s="55" t="s">
        <v>190</v>
      </c>
      <c r="AF15" s="55"/>
      <c r="AG15" s="55" t="s">
        <v>190</v>
      </c>
      <c r="AH15" s="55" t="e">
        <f>+'St of Net Assets - GA'!W16-'St of Activities - GA Exp'!AG15</f>
        <v>#VALUE!</v>
      </c>
    </row>
    <row r="16" spans="1:34" s="90" customFormat="1" ht="12" hidden="1">
      <c r="A16" s="54" t="s">
        <v>18</v>
      </c>
      <c r="B16" s="55"/>
      <c r="C16" s="55" t="s">
        <v>190</v>
      </c>
      <c r="D16" s="55"/>
      <c r="E16" s="55" t="s">
        <v>190</v>
      </c>
      <c r="F16" s="55"/>
      <c r="G16" s="55" t="s">
        <v>190</v>
      </c>
      <c r="H16" s="55"/>
      <c r="I16" s="55" t="s">
        <v>190</v>
      </c>
      <c r="J16" s="55"/>
      <c r="K16" s="55" t="s">
        <v>190</v>
      </c>
      <c r="L16" s="55"/>
      <c r="M16" s="55" t="s">
        <v>190</v>
      </c>
      <c r="N16" s="55"/>
      <c r="O16" s="55" t="s">
        <v>190</v>
      </c>
      <c r="P16" s="55"/>
      <c r="Q16" s="55" t="s">
        <v>190</v>
      </c>
      <c r="R16" s="55"/>
      <c r="S16" s="55" t="s">
        <v>190</v>
      </c>
      <c r="T16" s="55"/>
      <c r="U16" s="55" t="s">
        <v>190</v>
      </c>
      <c r="V16" s="55"/>
      <c r="W16" s="55" t="s">
        <v>190</v>
      </c>
      <c r="X16" s="55"/>
      <c r="Y16" s="2"/>
      <c r="Z16" s="55"/>
      <c r="AA16" s="55" t="s">
        <v>190</v>
      </c>
      <c r="AB16" s="55"/>
      <c r="AC16" s="55" t="e">
        <f>+'St of Activities - GA Rev'!X19-'St of Activities - GA Exp'!AA16</f>
        <v>#VALUE!</v>
      </c>
      <c r="AD16" s="55"/>
      <c r="AE16" s="55" t="s">
        <v>190</v>
      </c>
      <c r="AF16" s="55"/>
      <c r="AG16" s="55" t="s">
        <v>190</v>
      </c>
      <c r="AH16" s="55" t="e">
        <f>+'St of Net Assets - GA'!W17-'St of Activities - GA Exp'!AG16</f>
        <v>#VALUE!</v>
      </c>
    </row>
    <row r="17" spans="1:34" s="90" customFormat="1" ht="12" hidden="1">
      <c r="A17" s="54" t="s">
        <v>135</v>
      </c>
      <c r="B17" s="55"/>
      <c r="C17" s="55" t="s">
        <v>190</v>
      </c>
      <c r="D17" s="55"/>
      <c r="E17" s="55" t="s">
        <v>190</v>
      </c>
      <c r="F17" s="55"/>
      <c r="G17" s="55" t="s">
        <v>190</v>
      </c>
      <c r="H17" s="55"/>
      <c r="I17" s="55" t="s">
        <v>190</v>
      </c>
      <c r="J17" s="55"/>
      <c r="K17" s="55" t="s">
        <v>190</v>
      </c>
      <c r="L17" s="55"/>
      <c r="M17" s="55" t="s">
        <v>190</v>
      </c>
      <c r="N17" s="55"/>
      <c r="O17" s="55" t="s">
        <v>190</v>
      </c>
      <c r="P17" s="55"/>
      <c r="Q17" s="55" t="s">
        <v>190</v>
      </c>
      <c r="R17" s="55"/>
      <c r="S17" s="55" t="s">
        <v>190</v>
      </c>
      <c r="T17" s="55"/>
      <c r="U17" s="55" t="s">
        <v>190</v>
      </c>
      <c r="V17" s="55"/>
      <c r="W17" s="55" t="s">
        <v>190</v>
      </c>
      <c r="X17" s="55"/>
      <c r="Y17" s="2"/>
      <c r="Z17" s="55"/>
      <c r="AA17" s="55" t="s">
        <v>190</v>
      </c>
      <c r="AB17" s="55"/>
      <c r="AC17" s="55" t="e">
        <f>+'St of Activities - GA Rev'!X20-'St of Activities - GA Exp'!AA17</f>
        <v>#VALUE!</v>
      </c>
      <c r="AD17" s="55"/>
      <c r="AE17" s="55" t="s">
        <v>190</v>
      </c>
      <c r="AF17" s="55"/>
      <c r="AG17" s="55" t="s">
        <v>190</v>
      </c>
      <c r="AH17" s="55" t="e">
        <f>+'St of Net Assets - GA'!W18-'St of Activities - GA Exp'!AG17</f>
        <v>#VALUE!</v>
      </c>
    </row>
    <row r="18" spans="1:35" s="90" customFormat="1" ht="12">
      <c r="A18" s="54" t="s">
        <v>19</v>
      </c>
      <c r="B18" s="55"/>
      <c r="C18" s="59">
        <v>24241162</v>
      </c>
      <c r="D18" s="59"/>
      <c r="E18" s="59">
        <v>12735544</v>
      </c>
      <c r="F18" s="59"/>
      <c r="G18" s="59">
        <v>34599025</v>
      </c>
      <c r="H18" s="59"/>
      <c r="I18" s="59">
        <v>15657130</v>
      </c>
      <c r="J18" s="59"/>
      <c r="K18" s="59">
        <v>47395622</v>
      </c>
      <c r="L18" s="59"/>
      <c r="M18" s="59">
        <v>69442215</v>
      </c>
      <c r="N18" s="59"/>
      <c r="O18" s="59">
        <v>0</v>
      </c>
      <c r="P18" s="59"/>
      <c r="Q18" s="59">
        <v>520722</v>
      </c>
      <c r="R18" s="59"/>
      <c r="S18" s="59">
        <v>0</v>
      </c>
      <c r="T18" s="59"/>
      <c r="U18" s="59">
        <v>0</v>
      </c>
      <c r="V18" s="59"/>
      <c r="W18" s="59">
        <v>4905164</v>
      </c>
      <c r="X18" s="59"/>
      <c r="Y18" s="60">
        <v>380965</v>
      </c>
      <c r="Z18" s="59"/>
      <c r="AA18" s="59">
        <f>SUM(C18:Y18)</f>
        <v>209877549</v>
      </c>
      <c r="AB18" s="59"/>
      <c r="AC18" s="59">
        <f>+'St of Activities - GA Rev'!X21-'St of Activities - GA Exp'!AA18</f>
        <v>-1384316</v>
      </c>
      <c r="AD18" s="59"/>
      <c r="AE18" s="59">
        <v>349402801</v>
      </c>
      <c r="AF18" s="59"/>
      <c r="AG18" s="59">
        <f>+AE18+AC18</f>
        <v>348018485</v>
      </c>
      <c r="AH18" s="59">
        <f>+'St of Net Assets - GA'!W19-'St of Activities - GA Exp'!AG18</f>
        <v>0</v>
      </c>
      <c r="AI18" s="59"/>
    </row>
    <row r="19" spans="1:34" s="90" customFormat="1" ht="12" hidden="1">
      <c r="A19" s="54" t="s">
        <v>20</v>
      </c>
      <c r="B19" s="55"/>
      <c r="C19" s="55" t="s">
        <v>190</v>
      </c>
      <c r="D19" s="55"/>
      <c r="E19" s="55" t="s">
        <v>190</v>
      </c>
      <c r="F19" s="55"/>
      <c r="G19" s="55" t="s">
        <v>190</v>
      </c>
      <c r="H19" s="55"/>
      <c r="I19" s="55" t="s">
        <v>190</v>
      </c>
      <c r="J19" s="55"/>
      <c r="K19" s="55" t="s">
        <v>190</v>
      </c>
      <c r="L19" s="55"/>
      <c r="M19" s="55" t="s">
        <v>190</v>
      </c>
      <c r="N19" s="55"/>
      <c r="O19" s="55" t="s">
        <v>190</v>
      </c>
      <c r="P19" s="55"/>
      <c r="Q19" s="55" t="s">
        <v>190</v>
      </c>
      <c r="R19" s="55"/>
      <c r="S19" s="55" t="s">
        <v>190</v>
      </c>
      <c r="T19" s="55"/>
      <c r="U19" s="55" t="s">
        <v>190</v>
      </c>
      <c r="V19" s="55"/>
      <c r="W19" s="55" t="s">
        <v>190</v>
      </c>
      <c r="X19" s="55"/>
      <c r="Y19" s="5"/>
      <c r="Z19" s="55"/>
      <c r="AA19" s="55" t="s">
        <v>190</v>
      </c>
      <c r="AB19" s="55"/>
      <c r="AC19" s="55" t="e">
        <f>+'St of Activities - GA Rev'!X22-'St of Activities - GA Exp'!AA19</f>
        <v>#VALUE!</v>
      </c>
      <c r="AD19" s="55"/>
      <c r="AE19" s="55" t="s">
        <v>190</v>
      </c>
      <c r="AF19" s="55"/>
      <c r="AG19" s="55" t="s">
        <v>190</v>
      </c>
      <c r="AH19" s="55" t="e">
        <f>+'St of Net Assets - GA'!W20-'St of Activities - GA Exp'!AG19</f>
        <v>#VALUE!</v>
      </c>
    </row>
    <row r="20" spans="1:34" s="90" customFormat="1" ht="12" hidden="1">
      <c r="A20" s="54" t="s">
        <v>177</v>
      </c>
      <c r="B20" s="55"/>
      <c r="C20" s="55" t="s">
        <v>190</v>
      </c>
      <c r="D20" s="55"/>
      <c r="E20" s="55" t="s">
        <v>190</v>
      </c>
      <c r="F20" s="55"/>
      <c r="G20" s="55" t="s">
        <v>190</v>
      </c>
      <c r="H20" s="55"/>
      <c r="I20" s="55" t="s">
        <v>190</v>
      </c>
      <c r="J20" s="55"/>
      <c r="K20" s="55" t="s">
        <v>190</v>
      </c>
      <c r="L20" s="55"/>
      <c r="M20" s="55" t="s">
        <v>190</v>
      </c>
      <c r="N20" s="55"/>
      <c r="O20" s="55" t="s">
        <v>190</v>
      </c>
      <c r="P20" s="55"/>
      <c r="Q20" s="55" t="s">
        <v>190</v>
      </c>
      <c r="R20" s="55"/>
      <c r="S20" s="55" t="s">
        <v>190</v>
      </c>
      <c r="T20" s="55"/>
      <c r="U20" s="55" t="s">
        <v>190</v>
      </c>
      <c r="V20" s="55"/>
      <c r="W20" s="55" t="s">
        <v>190</v>
      </c>
      <c r="X20" s="55"/>
      <c r="Y20" s="5"/>
      <c r="Z20" s="55"/>
      <c r="AA20" s="55" t="s">
        <v>190</v>
      </c>
      <c r="AB20" s="55"/>
      <c r="AC20" s="55" t="e">
        <f>+'St of Activities - GA Rev'!X23-'St of Activities - GA Exp'!AA20</f>
        <v>#VALUE!</v>
      </c>
      <c r="AD20" s="55"/>
      <c r="AE20" s="55" t="s">
        <v>190</v>
      </c>
      <c r="AF20" s="55"/>
      <c r="AG20" s="55" t="s">
        <v>190</v>
      </c>
      <c r="AH20" s="55" t="e">
        <f>+'St of Net Assets - GA'!W21-'St of Activities - GA Exp'!AG20</f>
        <v>#VALUE!</v>
      </c>
    </row>
    <row r="21" spans="1:34" s="90" customFormat="1" ht="12" hidden="1">
      <c r="A21" s="54" t="s">
        <v>21</v>
      </c>
      <c r="B21" s="55"/>
      <c r="C21" s="55" t="s">
        <v>190</v>
      </c>
      <c r="D21" s="55"/>
      <c r="E21" s="55" t="s">
        <v>190</v>
      </c>
      <c r="F21" s="55"/>
      <c r="G21" s="55" t="s">
        <v>190</v>
      </c>
      <c r="H21" s="55"/>
      <c r="I21" s="55" t="s">
        <v>190</v>
      </c>
      <c r="J21" s="55"/>
      <c r="K21" s="55" t="s">
        <v>190</v>
      </c>
      <c r="L21" s="55"/>
      <c r="M21" s="55" t="s">
        <v>190</v>
      </c>
      <c r="N21" s="55"/>
      <c r="O21" s="55" t="s">
        <v>190</v>
      </c>
      <c r="P21" s="55"/>
      <c r="Q21" s="55" t="s">
        <v>190</v>
      </c>
      <c r="R21" s="55"/>
      <c r="S21" s="55" t="s">
        <v>190</v>
      </c>
      <c r="T21" s="55"/>
      <c r="U21" s="55" t="s">
        <v>190</v>
      </c>
      <c r="V21" s="55"/>
      <c r="W21" s="55" t="s">
        <v>190</v>
      </c>
      <c r="X21" s="55"/>
      <c r="Y21" s="5"/>
      <c r="Z21" s="55"/>
      <c r="AA21" s="55" t="s">
        <v>190</v>
      </c>
      <c r="AB21" s="55"/>
      <c r="AC21" s="55" t="e">
        <f>+'St of Activities - GA Rev'!X24-'St of Activities - GA Exp'!AA21</f>
        <v>#VALUE!</v>
      </c>
      <c r="AD21" s="55"/>
      <c r="AE21" s="55" t="s">
        <v>190</v>
      </c>
      <c r="AF21" s="55"/>
      <c r="AG21" s="55" t="s">
        <v>190</v>
      </c>
      <c r="AH21" s="55" t="e">
        <f>+'St of Net Assets - GA'!W22-'St of Activities - GA Exp'!AG21</f>
        <v>#VALUE!</v>
      </c>
    </row>
    <row r="22" spans="1:34" s="90" customFormat="1" ht="12">
      <c r="A22" s="54" t="s">
        <v>194</v>
      </c>
      <c r="B22" s="55"/>
      <c r="C22" s="55">
        <v>19515292</v>
      </c>
      <c r="D22" s="55"/>
      <c r="E22" s="55">
        <v>7467968</v>
      </c>
      <c r="F22" s="55"/>
      <c r="G22" s="55">
        <v>22540989</v>
      </c>
      <c r="H22" s="55"/>
      <c r="I22" s="55">
        <v>7155162</v>
      </c>
      <c r="J22" s="55"/>
      <c r="K22" s="55">
        <v>780820</v>
      </c>
      <c r="L22" s="55"/>
      <c r="M22" s="55">
        <v>28314617</v>
      </c>
      <c r="N22" s="55"/>
      <c r="O22" s="55">
        <v>2548204</v>
      </c>
      <c r="P22" s="55"/>
      <c r="Q22" s="55">
        <v>0</v>
      </c>
      <c r="R22" s="55"/>
      <c r="S22" s="55">
        <v>1671387</v>
      </c>
      <c r="T22" s="55"/>
      <c r="U22" s="55">
        <v>0</v>
      </c>
      <c r="V22" s="55"/>
      <c r="W22" s="55">
        <v>2309295</v>
      </c>
      <c r="X22" s="55"/>
      <c r="Y22" s="5">
        <v>320000</v>
      </c>
      <c r="Z22" s="55"/>
      <c r="AA22" s="55">
        <f>SUM(C22:Y22)</f>
        <v>92623734</v>
      </c>
      <c r="AB22" s="55"/>
      <c r="AC22" s="55">
        <f>+'St of Activities - GA Rev'!X25-'St of Activities - GA Exp'!AA22</f>
        <v>13133784</v>
      </c>
      <c r="AD22" s="55"/>
      <c r="AE22" s="55">
        <v>143733849</v>
      </c>
      <c r="AF22" s="55"/>
      <c r="AG22" s="55">
        <f>+AE22+AC22</f>
        <v>156867633</v>
      </c>
      <c r="AH22" s="55">
        <f>+'St of Net Assets - GA'!W23-'St of Activities - GA Exp'!AG22</f>
        <v>0</v>
      </c>
    </row>
    <row r="23" spans="1:34" s="90" customFormat="1" ht="12" hidden="1">
      <c r="A23" s="54" t="s">
        <v>23</v>
      </c>
      <c r="B23" s="55"/>
      <c r="C23" s="55" t="s">
        <v>190</v>
      </c>
      <c r="D23" s="55"/>
      <c r="E23" s="55" t="s">
        <v>190</v>
      </c>
      <c r="F23" s="55"/>
      <c r="G23" s="55" t="s">
        <v>190</v>
      </c>
      <c r="H23" s="55"/>
      <c r="I23" s="55" t="s">
        <v>190</v>
      </c>
      <c r="J23" s="55"/>
      <c r="K23" s="55" t="s">
        <v>190</v>
      </c>
      <c r="L23" s="55"/>
      <c r="M23" s="55" t="s">
        <v>190</v>
      </c>
      <c r="N23" s="55"/>
      <c r="O23" s="55" t="s">
        <v>190</v>
      </c>
      <c r="P23" s="55"/>
      <c r="Q23" s="55" t="s">
        <v>190</v>
      </c>
      <c r="R23" s="55"/>
      <c r="S23" s="55" t="s">
        <v>190</v>
      </c>
      <c r="T23" s="55"/>
      <c r="U23" s="55" t="s">
        <v>190</v>
      </c>
      <c r="V23" s="55"/>
      <c r="W23" s="55" t="s">
        <v>190</v>
      </c>
      <c r="X23" s="55"/>
      <c r="Y23" s="5" t="e">
        <v>#VALUE!</v>
      </c>
      <c r="Z23" s="55"/>
      <c r="AA23" s="55" t="s">
        <v>190</v>
      </c>
      <c r="AB23" s="55"/>
      <c r="AC23" s="55" t="e">
        <f>+'St of Activities - GA Rev'!X26-'St of Activities - GA Exp'!AA23</f>
        <v>#VALUE!</v>
      </c>
      <c r="AD23" s="55"/>
      <c r="AE23" s="55" t="s">
        <v>190</v>
      </c>
      <c r="AF23" s="55"/>
      <c r="AG23" s="55" t="s">
        <v>190</v>
      </c>
      <c r="AH23" s="55" t="e">
        <f>+'St of Net Assets - GA'!W24-'St of Activities - GA Exp'!AG23</f>
        <v>#VALUE!</v>
      </c>
    </row>
    <row r="24" spans="1:34" s="90" customFormat="1" ht="12" hidden="1">
      <c r="A24" s="54" t="s">
        <v>24</v>
      </c>
      <c r="B24" s="55"/>
      <c r="C24" s="55" t="s">
        <v>190</v>
      </c>
      <c r="D24" s="55"/>
      <c r="E24" s="55" t="s">
        <v>190</v>
      </c>
      <c r="F24" s="55"/>
      <c r="G24" s="55" t="s">
        <v>190</v>
      </c>
      <c r="H24" s="55"/>
      <c r="I24" s="55" t="s">
        <v>190</v>
      </c>
      <c r="J24" s="55"/>
      <c r="K24" s="55" t="s">
        <v>190</v>
      </c>
      <c r="L24" s="55"/>
      <c r="M24" s="55" t="s">
        <v>190</v>
      </c>
      <c r="N24" s="55"/>
      <c r="O24" s="55" t="s">
        <v>190</v>
      </c>
      <c r="P24" s="55"/>
      <c r="Q24" s="55" t="s">
        <v>190</v>
      </c>
      <c r="R24" s="55"/>
      <c r="S24" s="55" t="s">
        <v>190</v>
      </c>
      <c r="T24" s="55"/>
      <c r="U24" s="55" t="s">
        <v>190</v>
      </c>
      <c r="V24" s="55"/>
      <c r="W24" s="55" t="s">
        <v>190</v>
      </c>
      <c r="X24" s="55"/>
      <c r="Y24" s="5" t="e">
        <v>#VALUE!</v>
      </c>
      <c r="Z24" s="55"/>
      <c r="AA24" s="55" t="s">
        <v>190</v>
      </c>
      <c r="AB24" s="55"/>
      <c r="AC24" s="55" t="e">
        <f>+'St of Activities - GA Rev'!X27-'St of Activities - GA Exp'!AA24</f>
        <v>#VALUE!</v>
      </c>
      <c r="AD24" s="55"/>
      <c r="AE24" s="55" t="s">
        <v>190</v>
      </c>
      <c r="AF24" s="55"/>
      <c r="AG24" s="55" t="s">
        <v>190</v>
      </c>
      <c r="AH24" s="55" t="e">
        <f>+'St of Net Assets - GA'!W25-'St of Activities - GA Exp'!AG24</f>
        <v>#VALUE!</v>
      </c>
    </row>
    <row r="25" spans="1:34" s="90" customFormat="1" ht="12" hidden="1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">
        <v>0</v>
      </c>
      <c r="Z25" s="55"/>
      <c r="AA25" s="55">
        <f>SUM(C25:W25)</f>
        <v>0</v>
      </c>
      <c r="AB25" s="55"/>
      <c r="AC25" s="55">
        <f>+'St of Activities - GA Rev'!X28-'St of Activities - GA Exp'!AA25</f>
        <v>0</v>
      </c>
      <c r="AD25" s="55"/>
      <c r="AE25" s="55"/>
      <c r="AF25" s="55"/>
      <c r="AG25" s="55">
        <f aca="true" t="shared" si="0" ref="AG25:AG30">+AE25+AC25</f>
        <v>0</v>
      </c>
      <c r="AH25" s="55">
        <f>+'St of Net Assets - GA'!W26-'St of Activities - GA Exp'!AG25</f>
        <v>0</v>
      </c>
    </row>
    <row r="26" spans="1:34" s="90" customFormat="1" ht="12">
      <c r="A26" s="54" t="s">
        <v>192</v>
      </c>
      <c r="B26" s="55"/>
      <c r="C26" s="55">
        <v>3174674</v>
      </c>
      <c r="D26" s="55"/>
      <c r="E26" s="55">
        <v>2055061</v>
      </c>
      <c r="F26" s="55"/>
      <c r="G26" s="55">
        <f>2472138+2880234</f>
        <v>5352372</v>
      </c>
      <c r="H26" s="55"/>
      <c r="I26" s="55">
        <v>4153889</v>
      </c>
      <c r="J26" s="55"/>
      <c r="K26" s="55">
        <f>3227385+853794</f>
        <v>4081179</v>
      </c>
      <c r="L26" s="55"/>
      <c r="M26" s="55">
        <f>1997379+1561334+4880079+1736333</f>
        <v>10175125</v>
      </c>
      <c r="N26" s="55"/>
      <c r="O26" s="55">
        <v>0</v>
      </c>
      <c r="P26" s="55"/>
      <c r="Q26" s="55">
        <v>0</v>
      </c>
      <c r="R26" s="55"/>
      <c r="S26" s="55">
        <v>0</v>
      </c>
      <c r="T26" s="55"/>
      <c r="U26" s="55">
        <v>489802</v>
      </c>
      <c r="V26" s="55"/>
      <c r="W26" s="55">
        <v>523280</v>
      </c>
      <c r="X26" s="55"/>
      <c r="Y26" s="5">
        <v>3746</v>
      </c>
      <c r="Z26" s="55"/>
      <c r="AA26" s="55">
        <f aca="true" t="shared" si="1" ref="AA26:AA89">SUM(C26:Y26)</f>
        <v>30009128</v>
      </c>
      <c r="AB26" s="55"/>
      <c r="AC26" s="55">
        <f>+'St of Activities - GA Rev'!X29-'St of Activities - GA Exp'!AA26</f>
        <v>-334192</v>
      </c>
      <c r="AD26" s="55"/>
      <c r="AE26" s="55">
        <v>44353628</v>
      </c>
      <c r="AF26" s="55"/>
      <c r="AG26" s="55">
        <f t="shared" si="0"/>
        <v>44019436</v>
      </c>
      <c r="AH26" s="55">
        <f>+'St of Net Assets - GA'!W27-'St of Activities - GA Exp'!AG26</f>
        <v>0</v>
      </c>
    </row>
    <row r="27" spans="1:34" s="90" customFormat="1" ht="12">
      <c r="A27" s="54" t="s">
        <v>26</v>
      </c>
      <c r="B27" s="55"/>
      <c r="C27" s="55">
        <v>78570000</v>
      </c>
      <c r="D27" s="55"/>
      <c r="E27" s="55">
        <v>299231000</v>
      </c>
      <c r="F27" s="55"/>
      <c r="G27" s="55">
        <v>0</v>
      </c>
      <c r="H27" s="55"/>
      <c r="I27" s="55">
        <v>69272000</v>
      </c>
      <c r="J27" s="55"/>
      <c r="K27" s="55">
        <v>156824000</v>
      </c>
      <c r="L27" s="55"/>
      <c r="M27" s="55">
        <v>633133000</v>
      </c>
      <c r="N27" s="55"/>
      <c r="O27" s="55">
        <v>30630000</v>
      </c>
      <c r="P27" s="55"/>
      <c r="Q27" s="55">
        <v>0</v>
      </c>
      <c r="R27" s="55"/>
      <c r="S27" s="55">
        <v>0</v>
      </c>
      <c r="T27" s="55"/>
      <c r="U27" s="55">
        <v>0</v>
      </c>
      <c r="V27" s="55"/>
      <c r="W27" s="55">
        <v>16929000</v>
      </c>
      <c r="X27" s="55"/>
      <c r="Y27" s="5">
        <v>107000</v>
      </c>
      <c r="Z27" s="55"/>
      <c r="AA27" s="55">
        <f t="shared" si="1"/>
        <v>1284696000</v>
      </c>
      <c r="AB27" s="55"/>
      <c r="AC27" s="55">
        <f>+'St of Activities - GA Rev'!X30-'St of Activities - GA Exp'!AA27</f>
        <v>-60846000</v>
      </c>
      <c r="AD27" s="55"/>
      <c r="AE27" s="55">
        <v>522468000</v>
      </c>
      <c r="AF27" s="55"/>
      <c r="AG27" s="55">
        <f t="shared" si="0"/>
        <v>461622000</v>
      </c>
      <c r="AH27" s="55">
        <f>+'St of Net Assets - GA'!W28-'St of Activities - GA Exp'!AG27</f>
        <v>0</v>
      </c>
    </row>
    <row r="28" spans="1:34" s="90" customFormat="1" ht="12">
      <c r="A28" s="54" t="s">
        <v>27</v>
      </c>
      <c r="B28" s="55"/>
      <c r="C28" s="55">
        <v>7128747</v>
      </c>
      <c r="D28" s="55"/>
      <c r="E28" s="55">
        <v>0</v>
      </c>
      <c r="F28" s="55"/>
      <c r="G28" s="55">
        <v>4445035</v>
      </c>
      <c r="H28" s="55"/>
      <c r="I28" s="55">
        <v>6623894</v>
      </c>
      <c r="J28" s="55"/>
      <c r="K28" s="55">
        <v>288375</v>
      </c>
      <c r="L28" s="55"/>
      <c r="M28" s="55">
        <v>11962151</v>
      </c>
      <c r="N28" s="55"/>
      <c r="O28" s="55">
        <v>710801</v>
      </c>
      <c r="P28" s="55"/>
      <c r="Q28" s="55">
        <v>0</v>
      </c>
      <c r="R28" s="55"/>
      <c r="S28" s="55">
        <v>0</v>
      </c>
      <c r="T28" s="55"/>
      <c r="U28" s="55">
        <v>0</v>
      </c>
      <c r="V28" s="55"/>
      <c r="W28" s="55">
        <v>357038</v>
      </c>
      <c r="X28" s="55"/>
      <c r="Y28" s="5">
        <v>0</v>
      </c>
      <c r="Z28" s="55"/>
      <c r="AA28" s="55">
        <f t="shared" si="1"/>
        <v>31516041</v>
      </c>
      <c r="AB28" s="55"/>
      <c r="AC28" s="55">
        <f>+'St of Activities - GA Rev'!X31-'St of Activities - GA Exp'!AA28</f>
        <v>-6415577</v>
      </c>
      <c r="AD28" s="55"/>
      <c r="AE28" s="55">
        <v>92457738</v>
      </c>
      <c r="AF28" s="55"/>
      <c r="AG28" s="55">
        <f t="shared" si="0"/>
        <v>86042161</v>
      </c>
      <c r="AH28" s="55">
        <f>+'St of Net Assets - GA'!W29-'St of Activities - GA Exp'!AG28</f>
        <v>0</v>
      </c>
    </row>
    <row r="29" spans="1:34" s="90" customFormat="1" ht="12" hidden="1">
      <c r="A29" s="54" t="s">
        <v>28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">
        <v>0</v>
      </c>
      <c r="Z29" s="55"/>
      <c r="AA29" s="55">
        <f t="shared" si="1"/>
        <v>0</v>
      </c>
      <c r="AB29" s="55"/>
      <c r="AC29" s="55">
        <f>+'St of Activities - GA Rev'!X32-'St of Activities - GA Exp'!AA29</f>
        <v>0</v>
      </c>
      <c r="AD29" s="55"/>
      <c r="AE29" s="55"/>
      <c r="AF29" s="55"/>
      <c r="AG29" s="55">
        <f t="shared" si="0"/>
        <v>0</v>
      </c>
      <c r="AH29" s="55">
        <f>+'St of Net Assets - GA'!W30-'St of Activities - GA Exp'!AG29</f>
        <v>0</v>
      </c>
    </row>
    <row r="30" spans="1:34" s="90" customFormat="1" ht="12">
      <c r="A30" s="54" t="s">
        <v>29</v>
      </c>
      <c r="B30" s="55"/>
      <c r="C30" s="55">
        <v>13622062</v>
      </c>
      <c r="D30" s="55"/>
      <c r="E30" s="55">
        <v>4799098</v>
      </c>
      <c r="F30" s="55"/>
      <c r="G30" s="55">
        <f>1400129+6114696+7243547+3985680</f>
        <v>18744052</v>
      </c>
      <c r="H30" s="55"/>
      <c r="I30" s="55">
        <v>10560796</v>
      </c>
      <c r="J30" s="55"/>
      <c r="K30" s="55">
        <v>9224212</v>
      </c>
      <c r="L30" s="55"/>
      <c r="M30" s="55">
        <f>6318827+1201793+1514948+351205</f>
        <v>9386773</v>
      </c>
      <c r="N30" s="55"/>
      <c r="O30" s="55">
        <v>0</v>
      </c>
      <c r="P30" s="55"/>
      <c r="Q30" s="55">
        <v>0</v>
      </c>
      <c r="R30" s="55"/>
      <c r="S30" s="55">
        <v>0</v>
      </c>
      <c r="T30" s="55"/>
      <c r="U30" s="55">
        <v>1491889</v>
      </c>
      <c r="V30" s="55"/>
      <c r="W30" s="55">
        <v>1211982</v>
      </c>
      <c r="X30" s="55"/>
      <c r="Y30" s="5">
        <v>0</v>
      </c>
      <c r="Z30" s="55"/>
      <c r="AA30" s="55">
        <f t="shared" si="1"/>
        <v>69040864</v>
      </c>
      <c r="AB30" s="55"/>
      <c r="AC30" s="55">
        <f>+'St of Activities - GA Rev'!X33-'St of Activities - GA Exp'!AA30</f>
        <v>11472511</v>
      </c>
      <c r="AD30" s="55"/>
      <c r="AE30" s="55">
        <v>119748587</v>
      </c>
      <c r="AF30" s="55"/>
      <c r="AG30" s="55">
        <f t="shared" si="0"/>
        <v>131221098</v>
      </c>
      <c r="AH30" s="55">
        <f>+'St of Net Assets - GA'!W31-'St of Activities - GA Exp'!AG30</f>
        <v>0</v>
      </c>
    </row>
    <row r="31" spans="1:34" s="90" customFormat="1" ht="12" hidden="1">
      <c r="A31" s="54" t="s">
        <v>30</v>
      </c>
      <c r="B31" s="55"/>
      <c r="C31" s="55" t="s">
        <v>190</v>
      </c>
      <c r="D31" s="55"/>
      <c r="E31" s="55" t="s">
        <v>190</v>
      </c>
      <c r="F31" s="55"/>
      <c r="G31" s="55" t="s">
        <v>190</v>
      </c>
      <c r="H31" s="55"/>
      <c r="I31" s="55" t="s">
        <v>190</v>
      </c>
      <c r="J31" s="55"/>
      <c r="K31" s="55" t="s">
        <v>190</v>
      </c>
      <c r="L31" s="55"/>
      <c r="M31" s="55" t="s">
        <v>190</v>
      </c>
      <c r="N31" s="55"/>
      <c r="O31" s="55" t="s">
        <v>190</v>
      </c>
      <c r="P31" s="55"/>
      <c r="Q31" s="55" t="s">
        <v>190</v>
      </c>
      <c r="R31" s="55"/>
      <c r="S31" s="55" t="s">
        <v>190</v>
      </c>
      <c r="T31" s="55"/>
      <c r="U31" s="55" t="s">
        <v>190</v>
      </c>
      <c r="V31" s="55"/>
      <c r="W31" s="55" t="s">
        <v>190</v>
      </c>
      <c r="X31" s="55"/>
      <c r="Y31" s="5" t="e">
        <v>#VALUE!</v>
      </c>
      <c r="Z31" s="55"/>
      <c r="AA31" s="55" t="e">
        <f t="shared" si="1"/>
        <v>#VALUE!</v>
      </c>
      <c r="AB31" s="55"/>
      <c r="AC31" s="55" t="e">
        <f>+'St of Activities - GA Rev'!X34-'St of Activities - GA Exp'!AA31</f>
        <v>#VALUE!</v>
      </c>
      <c r="AD31" s="55"/>
      <c r="AE31" s="55" t="s">
        <v>190</v>
      </c>
      <c r="AF31" s="55"/>
      <c r="AG31" s="55" t="s">
        <v>190</v>
      </c>
      <c r="AH31" s="55" t="e">
        <f>+'St of Net Assets - GA'!W32-'St of Activities - GA Exp'!AG31</f>
        <v>#VALUE!</v>
      </c>
    </row>
    <row r="32" spans="1:34" s="90" customFormat="1" ht="12" hidden="1">
      <c r="A32" s="54" t="s">
        <v>31</v>
      </c>
      <c r="B32" s="55"/>
      <c r="C32" s="55" t="s">
        <v>190</v>
      </c>
      <c r="D32" s="55"/>
      <c r="E32" s="55" t="s">
        <v>190</v>
      </c>
      <c r="F32" s="55"/>
      <c r="G32" s="55" t="s">
        <v>190</v>
      </c>
      <c r="H32" s="55"/>
      <c r="I32" s="55" t="s">
        <v>190</v>
      </c>
      <c r="J32" s="55"/>
      <c r="K32" s="55" t="s">
        <v>190</v>
      </c>
      <c r="L32" s="55"/>
      <c r="M32" s="55" t="s">
        <v>190</v>
      </c>
      <c r="N32" s="55"/>
      <c r="O32" s="55" t="s">
        <v>190</v>
      </c>
      <c r="P32" s="55"/>
      <c r="Q32" s="55" t="s">
        <v>190</v>
      </c>
      <c r="R32" s="55"/>
      <c r="S32" s="55" t="s">
        <v>190</v>
      </c>
      <c r="T32" s="55"/>
      <c r="U32" s="55" t="s">
        <v>190</v>
      </c>
      <c r="V32" s="55"/>
      <c r="W32" s="55" t="s">
        <v>190</v>
      </c>
      <c r="X32" s="55"/>
      <c r="Y32" s="5" t="e">
        <v>#VALUE!</v>
      </c>
      <c r="Z32" s="55"/>
      <c r="AA32" s="55" t="e">
        <f t="shared" si="1"/>
        <v>#VALUE!</v>
      </c>
      <c r="AB32" s="55"/>
      <c r="AC32" s="55" t="e">
        <f>+'St of Activities - GA Rev'!X35-'St of Activities - GA Exp'!AA32</f>
        <v>#VALUE!</v>
      </c>
      <c r="AD32" s="55"/>
      <c r="AE32" s="55" t="s">
        <v>190</v>
      </c>
      <c r="AF32" s="55"/>
      <c r="AG32" s="55" t="s">
        <v>190</v>
      </c>
      <c r="AH32" s="55" t="e">
        <f>+'St of Net Assets - GA'!W33-'St of Activities - GA Exp'!AG32</f>
        <v>#VALUE!</v>
      </c>
    </row>
    <row r="33" spans="1:34" s="90" customFormat="1" ht="12" hidden="1">
      <c r="A33" s="54" t="s">
        <v>32</v>
      </c>
      <c r="B33" s="55"/>
      <c r="C33" s="55" t="s">
        <v>190</v>
      </c>
      <c r="D33" s="55"/>
      <c r="E33" s="55" t="s">
        <v>190</v>
      </c>
      <c r="F33" s="55"/>
      <c r="G33" s="55" t="s">
        <v>190</v>
      </c>
      <c r="H33" s="55"/>
      <c r="I33" s="55" t="s">
        <v>190</v>
      </c>
      <c r="J33" s="55"/>
      <c r="K33" s="55" t="s">
        <v>190</v>
      </c>
      <c r="L33" s="55"/>
      <c r="M33" s="55" t="s">
        <v>190</v>
      </c>
      <c r="N33" s="55"/>
      <c r="O33" s="55" t="s">
        <v>190</v>
      </c>
      <c r="P33" s="55"/>
      <c r="Q33" s="55" t="s">
        <v>190</v>
      </c>
      <c r="R33" s="55"/>
      <c r="S33" s="55" t="s">
        <v>190</v>
      </c>
      <c r="T33" s="55"/>
      <c r="U33" s="55" t="s">
        <v>190</v>
      </c>
      <c r="V33" s="55"/>
      <c r="W33" s="55" t="s">
        <v>190</v>
      </c>
      <c r="X33" s="55"/>
      <c r="Y33" s="5" t="e">
        <v>#VALUE!</v>
      </c>
      <c r="Z33" s="55"/>
      <c r="AA33" s="55" t="e">
        <f t="shared" si="1"/>
        <v>#VALUE!</v>
      </c>
      <c r="AB33" s="55"/>
      <c r="AC33" s="55" t="e">
        <f>+'St of Activities - GA Rev'!X36-'St of Activities - GA Exp'!AA33</f>
        <v>#VALUE!</v>
      </c>
      <c r="AD33" s="55"/>
      <c r="AE33" s="55" t="s">
        <v>190</v>
      </c>
      <c r="AF33" s="55"/>
      <c r="AG33" s="55" t="s">
        <v>190</v>
      </c>
      <c r="AH33" s="55" t="e">
        <f>+'St of Net Assets - GA'!W34-'St of Activities - GA Exp'!AG33</f>
        <v>#VALUE!</v>
      </c>
    </row>
    <row r="34" spans="1:34" s="90" customFormat="1" ht="12">
      <c r="A34" s="54" t="s">
        <v>33</v>
      </c>
      <c r="B34" s="55"/>
      <c r="C34" s="55">
        <v>74339000</v>
      </c>
      <c r="D34" s="55"/>
      <c r="E34" s="55">
        <v>61743000</v>
      </c>
      <c r="F34" s="55"/>
      <c r="G34" s="55">
        <v>109752000</v>
      </c>
      <c r="H34" s="55"/>
      <c r="I34" s="55">
        <v>21744000</v>
      </c>
      <c r="J34" s="55"/>
      <c r="K34" s="55">
        <v>256547000</v>
      </c>
      <c r="L34" s="55"/>
      <c r="M34" s="55">
        <v>313511000</v>
      </c>
      <c r="N34" s="55"/>
      <c r="O34" s="55">
        <v>6580000</v>
      </c>
      <c r="P34" s="55"/>
      <c r="Q34" s="55">
        <v>14186000</v>
      </c>
      <c r="R34" s="55"/>
      <c r="S34" s="55">
        <v>0</v>
      </c>
      <c r="T34" s="55"/>
      <c r="U34" s="55">
        <v>5345000</v>
      </c>
      <c r="V34" s="55"/>
      <c r="W34" s="55">
        <v>8065000</v>
      </c>
      <c r="X34" s="55"/>
      <c r="Y34" s="5">
        <v>200000</v>
      </c>
      <c r="Z34" s="55"/>
      <c r="AA34" s="55">
        <f t="shared" si="1"/>
        <v>872012000</v>
      </c>
      <c r="AB34" s="55"/>
      <c r="AC34" s="55">
        <f>+'St of Activities - GA Rev'!X37-'St of Activities - GA Exp'!AA34</f>
        <v>13877000</v>
      </c>
      <c r="AD34" s="55"/>
      <c r="AE34" s="55">
        <v>727096000</v>
      </c>
      <c r="AF34" s="55"/>
      <c r="AG34" s="55">
        <f aca="true" t="shared" si="2" ref="AG34:AG40">+AE34+AC34</f>
        <v>740973000</v>
      </c>
      <c r="AH34" s="55">
        <f>+'St of Net Assets - GA'!W35-'St of Activities - GA Exp'!AG34</f>
        <v>0</v>
      </c>
    </row>
    <row r="35" spans="1:34" s="90" customFormat="1" ht="12" hidden="1">
      <c r="A35" s="54" t="s">
        <v>34</v>
      </c>
      <c r="B35" s="55"/>
      <c r="C35" s="55" t="s">
        <v>190</v>
      </c>
      <c r="D35" s="55"/>
      <c r="E35" s="55" t="s">
        <v>190</v>
      </c>
      <c r="F35" s="55"/>
      <c r="G35" s="55" t="s">
        <v>190</v>
      </c>
      <c r="H35" s="55"/>
      <c r="I35" s="55" t="s">
        <v>190</v>
      </c>
      <c r="J35" s="55"/>
      <c r="K35" s="55" t="s">
        <v>190</v>
      </c>
      <c r="L35" s="55"/>
      <c r="M35" s="55" t="s">
        <v>190</v>
      </c>
      <c r="N35" s="55"/>
      <c r="O35" s="55" t="s">
        <v>190</v>
      </c>
      <c r="P35" s="55"/>
      <c r="Q35" s="55" t="s">
        <v>190</v>
      </c>
      <c r="R35" s="55"/>
      <c r="S35" s="55" t="s">
        <v>190</v>
      </c>
      <c r="T35" s="55"/>
      <c r="U35" s="55" t="s">
        <v>190</v>
      </c>
      <c r="V35" s="55"/>
      <c r="W35" s="55" t="s">
        <v>190</v>
      </c>
      <c r="X35" s="55"/>
      <c r="Y35" s="5" t="e">
        <v>#VALUE!</v>
      </c>
      <c r="Z35" s="55"/>
      <c r="AA35" s="55" t="e">
        <f t="shared" si="1"/>
        <v>#VALUE!</v>
      </c>
      <c r="AB35" s="55"/>
      <c r="AC35" s="55" t="e">
        <f>+'St of Activities - GA Rev'!X38-'St of Activities - GA Exp'!AA35</f>
        <v>#VALUE!</v>
      </c>
      <c r="AD35" s="55"/>
      <c r="AE35" s="55" t="s">
        <v>190</v>
      </c>
      <c r="AF35" s="55"/>
      <c r="AG35" s="55" t="s">
        <v>190</v>
      </c>
      <c r="AH35" s="55" t="e">
        <f>+'St of Net Assets - GA'!W36-'St of Activities - GA Exp'!AG35</f>
        <v>#VALUE!</v>
      </c>
    </row>
    <row r="36" spans="1:34" s="90" customFormat="1" ht="12" hidden="1">
      <c r="A36" s="54" t="s">
        <v>35</v>
      </c>
      <c r="B36" s="55"/>
      <c r="C36" s="55" t="s">
        <v>190</v>
      </c>
      <c r="D36" s="55"/>
      <c r="E36" s="55" t="s">
        <v>190</v>
      </c>
      <c r="F36" s="55"/>
      <c r="G36" s="55" t="s">
        <v>190</v>
      </c>
      <c r="H36" s="55"/>
      <c r="I36" s="55" t="s">
        <v>190</v>
      </c>
      <c r="J36" s="55"/>
      <c r="K36" s="55" t="s">
        <v>190</v>
      </c>
      <c r="L36" s="55"/>
      <c r="M36" s="55" t="s">
        <v>190</v>
      </c>
      <c r="N36" s="55"/>
      <c r="O36" s="55" t="s">
        <v>190</v>
      </c>
      <c r="P36" s="55"/>
      <c r="Q36" s="55" t="s">
        <v>190</v>
      </c>
      <c r="R36" s="55"/>
      <c r="S36" s="55" t="s">
        <v>190</v>
      </c>
      <c r="T36" s="55"/>
      <c r="U36" s="55" t="s">
        <v>190</v>
      </c>
      <c r="V36" s="55"/>
      <c r="W36" s="55" t="s">
        <v>190</v>
      </c>
      <c r="X36" s="55"/>
      <c r="Y36" s="5" t="e">
        <v>#VALUE!</v>
      </c>
      <c r="Z36" s="55"/>
      <c r="AA36" s="55" t="e">
        <f t="shared" si="1"/>
        <v>#VALUE!</v>
      </c>
      <c r="AB36" s="55"/>
      <c r="AC36" s="55" t="e">
        <f>+'St of Activities - GA Rev'!X39-'St of Activities - GA Exp'!AA36</f>
        <v>#VALUE!</v>
      </c>
      <c r="AD36" s="55"/>
      <c r="AE36" s="55" t="s">
        <v>190</v>
      </c>
      <c r="AF36" s="55"/>
      <c r="AG36" s="55" t="s">
        <v>190</v>
      </c>
      <c r="AH36" s="55" t="e">
        <f>+'St of Net Assets - GA'!W37-'St of Activities - GA Exp'!AG36</f>
        <v>#VALUE!</v>
      </c>
    </row>
    <row r="37" spans="1:34" s="90" customFormat="1" ht="12">
      <c r="A37" s="54" t="s">
        <v>36</v>
      </c>
      <c r="B37" s="55"/>
      <c r="C37" s="55">
        <v>7042563</v>
      </c>
      <c r="D37" s="55"/>
      <c r="E37" s="55">
        <v>2832026</v>
      </c>
      <c r="F37" s="55"/>
      <c r="G37" s="55">
        <v>8768513</v>
      </c>
      <c r="H37" s="55"/>
      <c r="I37" s="55">
        <v>5860351</v>
      </c>
      <c r="J37" s="55"/>
      <c r="K37" s="55">
        <v>5248525</v>
      </c>
      <c r="L37" s="55"/>
      <c r="M37" s="55">
        <v>24921236</v>
      </c>
      <c r="N37" s="55"/>
      <c r="O37" s="55">
        <v>1385018</v>
      </c>
      <c r="P37" s="55"/>
      <c r="Q37" s="55">
        <v>0</v>
      </c>
      <c r="R37" s="55"/>
      <c r="S37" s="55">
        <v>0</v>
      </c>
      <c r="T37" s="55"/>
      <c r="U37" s="55">
        <v>587607</v>
      </c>
      <c r="V37" s="55"/>
      <c r="W37" s="55">
        <v>410045</v>
      </c>
      <c r="X37" s="55"/>
      <c r="Y37" s="5">
        <v>85943</v>
      </c>
      <c r="Z37" s="55"/>
      <c r="AA37" s="55">
        <f t="shared" si="1"/>
        <v>57141827</v>
      </c>
      <c r="AB37" s="55"/>
      <c r="AC37" s="55">
        <f>+'St of Activities - GA Rev'!X40-'St of Activities - GA Exp'!AA37</f>
        <v>5073859</v>
      </c>
      <c r="AD37" s="55"/>
      <c r="AE37" s="55">
        <v>140076971</v>
      </c>
      <c r="AF37" s="55"/>
      <c r="AG37" s="55">
        <f t="shared" si="2"/>
        <v>145150830</v>
      </c>
      <c r="AH37" s="55">
        <f>+'St of Net Assets - GA'!W38-'St of Activities - GA Exp'!AG37</f>
        <v>0</v>
      </c>
    </row>
    <row r="38" spans="1:34" s="90" customFormat="1" ht="12">
      <c r="A38" s="54" t="s">
        <v>195</v>
      </c>
      <c r="B38" s="55"/>
      <c r="C38" s="55">
        <v>14780899</v>
      </c>
      <c r="D38" s="55"/>
      <c r="E38" s="55">
        <v>6111622</v>
      </c>
      <c r="F38" s="55"/>
      <c r="G38" s="55">
        <v>18085795</v>
      </c>
      <c r="H38" s="55"/>
      <c r="I38" s="55">
        <v>6905094</v>
      </c>
      <c r="J38" s="55"/>
      <c r="K38" s="55">
        <v>14159338</v>
      </c>
      <c r="L38" s="55"/>
      <c r="M38" s="55">
        <v>25446143</v>
      </c>
      <c r="N38" s="55"/>
      <c r="O38" s="55">
        <v>1581188</v>
      </c>
      <c r="P38" s="55"/>
      <c r="Q38" s="55">
        <v>2702877</v>
      </c>
      <c r="R38" s="55"/>
      <c r="S38" s="55">
        <v>0</v>
      </c>
      <c r="T38" s="55"/>
      <c r="U38" s="55">
        <v>0</v>
      </c>
      <c r="V38" s="55"/>
      <c r="W38" s="55">
        <v>235794</v>
      </c>
      <c r="X38" s="55"/>
      <c r="Y38" s="5">
        <v>590774</v>
      </c>
      <c r="Z38" s="55"/>
      <c r="AA38" s="55">
        <f t="shared" si="1"/>
        <v>90599524</v>
      </c>
      <c r="AB38" s="55"/>
      <c r="AC38" s="55">
        <f>+'St of Activities - GA Rev'!X41-'St of Activities - GA Exp'!AA38</f>
        <v>1591200</v>
      </c>
      <c r="AD38" s="55"/>
      <c r="AE38" s="55">
        <v>177723854</v>
      </c>
      <c r="AF38" s="55"/>
      <c r="AG38" s="55">
        <f t="shared" si="2"/>
        <v>179315054</v>
      </c>
      <c r="AH38" s="55">
        <f>+'St of Net Assets - GA'!W39-'St of Activities - GA Exp'!AG38</f>
        <v>0</v>
      </c>
    </row>
    <row r="39" spans="1:34" s="90" customFormat="1" ht="12">
      <c r="A39" s="54" t="s">
        <v>37</v>
      </c>
      <c r="B39" s="55"/>
      <c r="C39" s="55">
        <v>4305855</v>
      </c>
      <c r="D39" s="55"/>
      <c r="E39" s="55">
        <v>2634922</v>
      </c>
      <c r="F39" s="55"/>
      <c r="G39" s="55">
        <v>3095408</v>
      </c>
      <c r="H39" s="55"/>
      <c r="I39" s="55">
        <v>4327664</v>
      </c>
      <c r="J39" s="55"/>
      <c r="K39" s="55">
        <v>5188557</v>
      </c>
      <c r="L39" s="55"/>
      <c r="M39" s="55">
        <v>11497287</v>
      </c>
      <c r="N39" s="55"/>
      <c r="O39" s="55">
        <v>543733</v>
      </c>
      <c r="P39" s="55"/>
      <c r="Q39" s="55">
        <v>0</v>
      </c>
      <c r="R39" s="55"/>
      <c r="S39" s="55">
        <v>387471</v>
      </c>
      <c r="T39" s="55"/>
      <c r="U39" s="55">
        <v>0</v>
      </c>
      <c r="V39" s="55"/>
      <c r="W39" s="55">
        <v>414442</v>
      </c>
      <c r="X39" s="55"/>
      <c r="Y39" s="5">
        <v>51109</v>
      </c>
      <c r="Z39" s="55"/>
      <c r="AA39" s="55">
        <f t="shared" si="1"/>
        <v>32446448</v>
      </c>
      <c r="AB39" s="55"/>
      <c r="AC39" s="55">
        <f>+'St of Activities - GA Rev'!X42-'St of Activities - GA Exp'!AA39</f>
        <v>2648972</v>
      </c>
      <c r="AD39" s="55"/>
      <c r="AE39" s="55">
        <v>92616974</v>
      </c>
      <c r="AF39" s="55"/>
      <c r="AG39" s="55">
        <f t="shared" si="2"/>
        <v>95265946</v>
      </c>
      <c r="AH39" s="55">
        <f>+'St of Net Assets - GA'!W40-'St of Activities - GA Exp'!AG39</f>
        <v>0</v>
      </c>
    </row>
    <row r="40" spans="1:34" s="90" customFormat="1" ht="12">
      <c r="A40" s="54" t="s">
        <v>38</v>
      </c>
      <c r="B40" s="55"/>
      <c r="C40" s="55">
        <v>68904000</v>
      </c>
      <c r="D40" s="55"/>
      <c r="E40" s="55">
        <v>112921000</v>
      </c>
      <c r="F40" s="55"/>
      <c r="G40" s="55">
        <v>90065000</v>
      </c>
      <c r="H40" s="55"/>
      <c r="I40" s="55">
        <v>27519000</v>
      </c>
      <c r="J40" s="55"/>
      <c r="K40" s="55">
        <v>233986000</v>
      </c>
      <c r="L40" s="55"/>
      <c r="M40" s="55">
        <v>315605000</v>
      </c>
      <c r="N40" s="55"/>
      <c r="O40" s="55">
        <v>20852000</v>
      </c>
      <c r="P40" s="55"/>
      <c r="Q40" s="55">
        <v>6689000</v>
      </c>
      <c r="R40" s="55"/>
      <c r="S40" s="55">
        <f>6462000+3052000</f>
        <v>9514000</v>
      </c>
      <c r="T40" s="55"/>
      <c r="U40" s="55">
        <v>0</v>
      </c>
      <c r="V40" s="55"/>
      <c r="W40" s="55">
        <f>8753000+5000</f>
        <v>8758000</v>
      </c>
      <c r="X40" s="55"/>
      <c r="Y40" s="5">
        <v>641000</v>
      </c>
      <c r="Z40" s="55"/>
      <c r="AA40" s="55">
        <f t="shared" si="1"/>
        <v>895454000</v>
      </c>
      <c r="AB40" s="55"/>
      <c r="AC40" s="55">
        <f>+'St of Activities - GA Rev'!X43-'St of Activities - GA Exp'!AA40</f>
        <v>22102000</v>
      </c>
      <c r="AD40" s="55"/>
      <c r="AE40" s="55">
        <v>394998000</v>
      </c>
      <c r="AF40" s="55"/>
      <c r="AG40" s="55">
        <f t="shared" si="2"/>
        <v>417100000</v>
      </c>
      <c r="AH40" s="55">
        <f>+'St of Net Assets - GA'!W41-'St of Activities - GA Exp'!AG40</f>
        <v>0</v>
      </c>
    </row>
    <row r="41" spans="1:34" s="90" customFormat="1" ht="12">
      <c r="A41" s="54" t="s">
        <v>39</v>
      </c>
      <c r="B41" s="55"/>
      <c r="C41" s="55">
        <v>5597423</v>
      </c>
      <c r="D41" s="55"/>
      <c r="E41" s="55">
        <v>2855053</v>
      </c>
      <c r="F41" s="55"/>
      <c r="G41" s="55">
        <v>6524065</v>
      </c>
      <c r="H41" s="55"/>
      <c r="I41" s="55">
        <v>4793566</v>
      </c>
      <c r="J41" s="55"/>
      <c r="K41" s="55">
        <f>4540449+8009762+768853</f>
        <v>13319064</v>
      </c>
      <c r="L41" s="55"/>
      <c r="M41" s="55">
        <f>5708054+2423054</f>
        <v>8131108</v>
      </c>
      <c r="N41" s="55"/>
      <c r="O41" s="55">
        <v>1113052</v>
      </c>
      <c r="P41" s="55"/>
      <c r="Q41" s="55">
        <v>0</v>
      </c>
      <c r="R41" s="55"/>
      <c r="S41" s="55">
        <v>0</v>
      </c>
      <c r="T41" s="55"/>
      <c r="U41" s="55">
        <v>635895</v>
      </c>
      <c r="V41" s="55"/>
      <c r="W41" s="55">
        <v>827189</v>
      </c>
      <c r="X41" s="55"/>
      <c r="Y41" s="5">
        <v>0</v>
      </c>
      <c r="Z41" s="55"/>
      <c r="AA41" s="55">
        <f t="shared" si="1"/>
        <v>43796415</v>
      </c>
      <c r="AB41" s="55"/>
      <c r="AC41" s="55">
        <f>+'St of Activities - GA Rev'!X44-'St of Activities - GA Exp'!AA41</f>
        <v>1481019</v>
      </c>
      <c r="AD41" s="55"/>
      <c r="AE41" s="55">
        <v>73563324</v>
      </c>
      <c r="AF41" s="55"/>
      <c r="AG41" s="55">
        <f>+AE41+AC41</f>
        <v>75044343</v>
      </c>
      <c r="AH41" s="55">
        <f>+'St of Net Assets - GA'!W42-'St of Activities - GA Exp'!AG41</f>
        <v>0</v>
      </c>
    </row>
    <row r="42" spans="1:34" s="90" customFormat="1" ht="12" hidden="1">
      <c r="A42" s="54" t="s">
        <v>169</v>
      </c>
      <c r="B42" s="55"/>
      <c r="C42" s="55" t="s">
        <v>190</v>
      </c>
      <c r="D42" s="55"/>
      <c r="E42" s="55" t="s">
        <v>190</v>
      </c>
      <c r="F42" s="55"/>
      <c r="G42" s="55" t="s">
        <v>190</v>
      </c>
      <c r="H42" s="55"/>
      <c r="I42" s="55" t="s">
        <v>190</v>
      </c>
      <c r="J42" s="55"/>
      <c r="K42" s="55" t="s">
        <v>190</v>
      </c>
      <c r="L42" s="55"/>
      <c r="M42" s="55" t="s">
        <v>190</v>
      </c>
      <c r="N42" s="55"/>
      <c r="O42" s="55" t="s">
        <v>190</v>
      </c>
      <c r="P42" s="55"/>
      <c r="Q42" s="55" t="s">
        <v>190</v>
      </c>
      <c r="R42" s="55"/>
      <c r="S42" s="55" t="s">
        <v>190</v>
      </c>
      <c r="T42" s="55"/>
      <c r="U42" s="55" t="s">
        <v>190</v>
      </c>
      <c r="V42" s="55"/>
      <c r="W42" s="55" t="s">
        <v>190</v>
      </c>
      <c r="X42" s="55"/>
      <c r="Y42" s="5" t="e">
        <v>#VALUE!</v>
      </c>
      <c r="Z42" s="55"/>
      <c r="AA42" s="55" t="e">
        <f t="shared" si="1"/>
        <v>#VALUE!</v>
      </c>
      <c r="AB42" s="55"/>
      <c r="AC42" s="55" t="e">
        <f>+'St of Activities - GA Rev'!X45-'St of Activities - GA Exp'!AA42</f>
        <v>#VALUE!</v>
      </c>
      <c r="AD42" s="55"/>
      <c r="AE42" s="55" t="s">
        <v>190</v>
      </c>
      <c r="AF42" s="55"/>
      <c r="AG42" s="55" t="s">
        <v>190</v>
      </c>
      <c r="AH42" s="55" t="e">
        <f>+'St of Net Assets - GA'!W43-'St of Activities - GA Exp'!AG42</f>
        <v>#VALUE!</v>
      </c>
    </row>
    <row r="43" spans="1:34" s="90" customFormat="1" ht="12" hidden="1">
      <c r="A43" s="54" t="s">
        <v>40</v>
      </c>
      <c r="B43" s="55"/>
      <c r="C43" s="55" t="s">
        <v>190</v>
      </c>
      <c r="D43" s="55"/>
      <c r="E43" s="55" t="s">
        <v>190</v>
      </c>
      <c r="F43" s="55"/>
      <c r="G43" s="55" t="s">
        <v>190</v>
      </c>
      <c r="H43" s="55"/>
      <c r="I43" s="55" t="s">
        <v>190</v>
      </c>
      <c r="J43" s="55"/>
      <c r="K43" s="55" t="s">
        <v>190</v>
      </c>
      <c r="L43" s="55"/>
      <c r="M43" s="55" t="s">
        <v>190</v>
      </c>
      <c r="N43" s="55"/>
      <c r="O43" s="55" t="s">
        <v>190</v>
      </c>
      <c r="P43" s="55"/>
      <c r="Q43" s="55" t="s">
        <v>190</v>
      </c>
      <c r="R43" s="55"/>
      <c r="S43" s="55" t="s">
        <v>190</v>
      </c>
      <c r="T43" s="55"/>
      <c r="U43" s="55" t="s">
        <v>190</v>
      </c>
      <c r="V43" s="55"/>
      <c r="W43" s="55" t="s">
        <v>190</v>
      </c>
      <c r="X43" s="55"/>
      <c r="Y43" s="5" t="e">
        <v>#VALUE!</v>
      </c>
      <c r="Z43" s="55"/>
      <c r="AA43" s="55" t="e">
        <f t="shared" si="1"/>
        <v>#VALUE!</v>
      </c>
      <c r="AB43" s="55"/>
      <c r="AC43" s="55" t="e">
        <f>+'St of Activities - GA Rev'!X46-'St of Activities - GA Exp'!AA43</f>
        <v>#VALUE!</v>
      </c>
      <c r="AD43" s="55"/>
      <c r="AE43" s="55" t="s">
        <v>190</v>
      </c>
      <c r="AF43" s="55"/>
      <c r="AG43" s="55" t="s">
        <v>190</v>
      </c>
      <c r="AH43" s="55" t="e">
        <f>+'St of Net Assets - GA'!W44-'St of Activities - GA Exp'!AG43</f>
        <v>#VALUE!</v>
      </c>
    </row>
    <row r="44" spans="1:34" s="90" customFormat="1" ht="12" hidden="1">
      <c r="A44" s="54" t="s">
        <v>41</v>
      </c>
      <c r="B44" s="55"/>
      <c r="C44" s="55" t="s">
        <v>190</v>
      </c>
      <c r="D44" s="55"/>
      <c r="E44" s="55" t="s">
        <v>190</v>
      </c>
      <c r="F44" s="55"/>
      <c r="G44" s="55" t="s">
        <v>190</v>
      </c>
      <c r="H44" s="55"/>
      <c r="I44" s="55" t="s">
        <v>190</v>
      </c>
      <c r="J44" s="55"/>
      <c r="K44" s="55" t="s">
        <v>190</v>
      </c>
      <c r="L44" s="55"/>
      <c r="M44" s="55" t="s">
        <v>190</v>
      </c>
      <c r="N44" s="55"/>
      <c r="O44" s="55" t="s">
        <v>190</v>
      </c>
      <c r="P44" s="55"/>
      <c r="Q44" s="55" t="s">
        <v>190</v>
      </c>
      <c r="R44" s="55"/>
      <c r="S44" s="55" t="s">
        <v>190</v>
      </c>
      <c r="T44" s="55"/>
      <c r="U44" s="55" t="s">
        <v>190</v>
      </c>
      <c r="V44" s="55"/>
      <c r="W44" s="55" t="s">
        <v>190</v>
      </c>
      <c r="X44" s="55"/>
      <c r="Y44" s="5" t="e">
        <v>#VALUE!</v>
      </c>
      <c r="Z44" s="55"/>
      <c r="AA44" s="55" t="e">
        <f t="shared" si="1"/>
        <v>#VALUE!</v>
      </c>
      <c r="AB44" s="55"/>
      <c r="AC44" s="55" t="e">
        <f>+'St of Activities - GA Rev'!X47-'St of Activities - GA Exp'!AA44</f>
        <v>#VALUE!</v>
      </c>
      <c r="AD44" s="55"/>
      <c r="AE44" s="55" t="s">
        <v>190</v>
      </c>
      <c r="AF44" s="55"/>
      <c r="AG44" s="55" t="s">
        <v>190</v>
      </c>
      <c r="AH44" s="55" t="e">
        <f>+'St of Net Assets - GA'!W45-'St of Activities - GA Exp'!AG44</f>
        <v>#VALUE!</v>
      </c>
    </row>
    <row r="45" spans="1:34" s="90" customFormat="1" ht="12" hidden="1">
      <c r="A45" s="54" t="s">
        <v>42</v>
      </c>
      <c r="B45" s="55"/>
      <c r="C45" s="55" t="s">
        <v>190</v>
      </c>
      <c r="D45" s="55"/>
      <c r="E45" s="55" t="s">
        <v>190</v>
      </c>
      <c r="F45" s="55"/>
      <c r="G45" s="55" t="s">
        <v>190</v>
      </c>
      <c r="H45" s="55"/>
      <c r="I45" s="55" t="s">
        <v>190</v>
      </c>
      <c r="J45" s="55"/>
      <c r="K45" s="55" t="s">
        <v>190</v>
      </c>
      <c r="L45" s="55"/>
      <c r="M45" s="55" t="s">
        <v>190</v>
      </c>
      <c r="N45" s="55"/>
      <c r="O45" s="55" t="s">
        <v>190</v>
      </c>
      <c r="P45" s="55"/>
      <c r="Q45" s="55" t="s">
        <v>190</v>
      </c>
      <c r="R45" s="55"/>
      <c r="S45" s="55" t="s">
        <v>190</v>
      </c>
      <c r="T45" s="55"/>
      <c r="U45" s="55" t="s">
        <v>190</v>
      </c>
      <c r="V45" s="55"/>
      <c r="W45" s="55" t="s">
        <v>190</v>
      </c>
      <c r="X45" s="55"/>
      <c r="Y45" s="5" t="e">
        <v>#VALUE!</v>
      </c>
      <c r="Z45" s="55"/>
      <c r="AA45" s="55" t="e">
        <f t="shared" si="1"/>
        <v>#VALUE!</v>
      </c>
      <c r="AB45" s="55"/>
      <c r="AC45" s="55" t="e">
        <f>+'St of Activities - GA Rev'!X48-'St of Activities - GA Exp'!AA45</f>
        <v>#VALUE!</v>
      </c>
      <c r="AD45" s="55"/>
      <c r="AE45" s="55" t="s">
        <v>190</v>
      </c>
      <c r="AF45" s="55"/>
      <c r="AG45" s="55" t="s">
        <v>190</v>
      </c>
      <c r="AH45" s="55" t="e">
        <f>+'St of Net Assets - GA'!W46-'St of Activities - GA Exp'!AG45</f>
        <v>#VALUE!</v>
      </c>
    </row>
    <row r="46" spans="1:34" s="90" customFormat="1" ht="12" hidden="1">
      <c r="A46" s="54" t="s">
        <v>43</v>
      </c>
      <c r="B46" s="55"/>
      <c r="C46" s="55" t="s">
        <v>190</v>
      </c>
      <c r="D46" s="55"/>
      <c r="E46" s="55" t="s">
        <v>190</v>
      </c>
      <c r="F46" s="55"/>
      <c r="G46" s="55" t="s">
        <v>190</v>
      </c>
      <c r="H46" s="55"/>
      <c r="I46" s="55" t="s">
        <v>190</v>
      </c>
      <c r="J46" s="55"/>
      <c r="K46" s="55" t="s">
        <v>190</v>
      </c>
      <c r="L46" s="55"/>
      <c r="M46" s="55" t="s">
        <v>190</v>
      </c>
      <c r="N46" s="55"/>
      <c r="O46" s="55" t="s">
        <v>190</v>
      </c>
      <c r="P46" s="55"/>
      <c r="Q46" s="55" t="s">
        <v>190</v>
      </c>
      <c r="R46" s="55"/>
      <c r="S46" s="55" t="s">
        <v>190</v>
      </c>
      <c r="T46" s="55"/>
      <c r="U46" s="55" t="s">
        <v>190</v>
      </c>
      <c r="V46" s="55"/>
      <c r="W46" s="55" t="s">
        <v>190</v>
      </c>
      <c r="X46" s="55"/>
      <c r="Y46" s="5" t="e">
        <v>#VALUE!</v>
      </c>
      <c r="Z46" s="55"/>
      <c r="AA46" s="55" t="e">
        <f t="shared" si="1"/>
        <v>#VALUE!</v>
      </c>
      <c r="AB46" s="55"/>
      <c r="AC46" s="55" t="e">
        <f>+'St of Activities - GA Rev'!X49-'St of Activities - GA Exp'!AA46</f>
        <v>#VALUE!</v>
      </c>
      <c r="AD46" s="55"/>
      <c r="AE46" s="55" t="s">
        <v>190</v>
      </c>
      <c r="AF46" s="55"/>
      <c r="AG46" s="55" t="s">
        <v>190</v>
      </c>
      <c r="AH46" s="55" t="e">
        <f>+'St of Net Assets - GA'!W47-'St of Activities - GA Exp'!AG46</f>
        <v>#VALUE!</v>
      </c>
    </row>
    <row r="47" spans="1:34" s="90" customFormat="1" ht="12" hidden="1">
      <c r="A47" s="54" t="s">
        <v>44</v>
      </c>
      <c r="B47" s="55"/>
      <c r="C47" s="55" t="s">
        <v>190</v>
      </c>
      <c r="D47" s="55"/>
      <c r="E47" s="55" t="s">
        <v>190</v>
      </c>
      <c r="F47" s="55"/>
      <c r="G47" s="55" t="s">
        <v>190</v>
      </c>
      <c r="H47" s="55"/>
      <c r="I47" s="55" t="s">
        <v>190</v>
      </c>
      <c r="J47" s="55"/>
      <c r="K47" s="55" t="s">
        <v>190</v>
      </c>
      <c r="L47" s="55"/>
      <c r="M47" s="55" t="s">
        <v>190</v>
      </c>
      <c r="N47" s="55"/>
      <c r="O47" s="55" t="s">
        <v>190</v>
      </c>
      <c r="P47" s="55"/>
      <c r="Q47" s="55" t="s">
        <v>190</v>
      </c>
      <c r="R47" s="55"/>
      <c r="S47" s="55" t="s">
        <v>190</v>
      </c>
      <c r="T47" s="55"/>
      <c r="U47" s="55" t="s">
        <v>190</v>
      </c>
      <c r="V47" s="55"/>
      <c r="W47" s="55" t="s">
        <v>190</v>
      </c>
      <c r="X47" s="55"/>
      <c r="Y47" s="5">
        <v>0</v>
      </c>
      <c r="Z47" s="55"/>
      <c r="AA47" s="55">
        <f t="shared" si="1"/>
        <v>0</v>
      </c>
      <c r="AB47" s="55"/>
      <c r="AC47" s="55">
        <f>+'St of Activities - GA Rev'!X50-'St of Activities - GA Exp'!AA47</f>
        <v>0</v>
      </c>
      <c r="AD47" s="55"/>
      <c r="AE47" s="55" t="s">
        <v>190</v>
      </c>
      <c r="AF47" s="55"/>
      <c r="AG47" s="55" t="s">
        <v>190</v>
      </c>
      <c r="AH47" s="55" t="e">
        <f>+'St of Net Assets - GA'!W48-'St of Activities - GA Exp'!AG47</f>
        <v>#VALUE!</v>
      </c>
    </row>
    <row r="48" spans="1:34" s="90" customFormat="1" ht="12" hidden="1">
      <c r="A48" s="54" t="s">
        <v>45</v>
      </c>
      <c r="B48" s="55"/>
      <c r="C48" s="55" t="s">
        <v>190</v>
      </c>
      <c r="D48" s="55"/>
      <c r="E48" s="55" t="s">
        <v>190</v>
      </c>
      <c r="F48" s="55"/>
      <c r="G48" s="55" t="s">
        <v>190</v>
      </c>
      <c r="H48" s="55"/>
      <c r="I48" s="55" t="s">
        <v>190</v>
      </c>
      <c r="J48" s="55"/>
      <c r="K48" s="55" t="s">
        <v>190</v>
      </c>
      <c r="L48" s="55"/>
      <c r="M48" s="55" t="s">
        <v>190</v>
      </c>
      <c r="N48" s="55"/>
      <c r="O48" s="55" t="s">
        <v>190</v>
      </c>
      <c r="P48" s="55"/>
      <c r="Q48" s="55" t="s">
        <v>190</v>
      </c>
      <c r="R48" s="55"/>
      <c r="S48" s="55" t="s">
        <v>190</v>
      </c>
      <c r="T48" s="55"/>
      <c r="U48" s="55" t="s">
        <v>190</v>
      </c>
      <c r="V48" s="55"/>
      <c r="W48" s="55" t="s">
        <v>190</v>
      </c>
      <c r="X48" s="55"/>
      <c r="Y48" s="5" t="e">
        <v>#VALUE!</v>
      </c>
      <c r="Z48" s="55"/>
      <c r="AA48" s="55" t="e">
        <f t="shared" si="1"/>
        <v>#VALUE!</v>
      </c>
      <c r="AB48" s="55"/>
      <c r="AC48" s="55" t="e">
        <f>+'St of Activities - GA Rev'!X51-'St of Activities - GA Exp'!AA48</f>
        <v>#VALUE!</v>
      </c>
      <c r="AD48" s="55"/>
      <c r="AE48" s="55" t="s">
        <v>190</v>
      </c>
      <c r="AF48" s="55"/>
      <c r="AG48" s="55" t="s">
        <v>190</v>
      </c>
      <c r="AH48" s="55" t="e">
        <f>+'St of Net Assets - GA'!W49-'St of Activities - GA Exp'!AG48</f>
        <v>#VALUE!</v>
      </c>
    </row>
    <row r="49" spans="1:34" s="90" customFormat="1" ht="12" hidden="1">
      <c r="A49" s="54" t="s">
        <v>46</v>
      </c>
      <c r="B49" s="55"/>
      <c r="C49" s="55" t="s">
        <v>190</v>
      </c>
      <c r="D49" s="55"/>
      <c r="E49" s="55" t="s">
        <v>190</v>
      </c>
      <c r="F49" s="55"/>
      <c r="G49" s="55" t="s">
        <v>190</v>
      </c>
      <c r="H49" s="55"/>
      <c r="I49" s="55" t="s">
        <v>190</v>
      </c>
      <c r="J49" s="55"/>
      <c r="K49" s="55" t="s">
        <v>190</v>
      </c>
      <c r="L49" s="55"/>
      <c r="M49" s="55" t="s">
        <v>190</v>
      </c>
      <c r="N49" s="55"/>
      <c r="O49" s="55" t="s">
        <v>190</v>
      </c>
      <c r="P49" s="55"/>
      <c r="Q49" s="55" t="s">
        <v>190</v>
      </c>
      <c r="R49" s="55"/>
      <c r="S49" s="55" t="s">
        <v>190</v>
      </c>
      <c r="T49" s="55"/>
      <c r="U49" s="55" t="s">
        <v>190</v>
      </c>
      <c r="V49" s="55"/>
      <c r="W49" s="55" t="s">
        <v>190</v>
      </c>
      <c r="X49" s="55"/>
      <c r="Y49" s="5" t="e">
        <v>#VALUE!</v>
      </c>
      <c r="Z49" s="55"/>
      <c r="AA49" s="55" t="e">
        <f t="shared" si="1"/>
        <v>#VALUE!</v>
      </c>
      <c r="AB49" s="55"/>
      <c r="AC49" s="55" t="e">
        <f>+'St of Activities - GA Rev'!X52-'St of Activities - GA Exp'!AA49</f>
        <v>#VALUE!</v>
      </c>
      <c r="AD49" s="55"/>
      <c r="AE49" s="55" t="s">
        <v>190</v>
      </c>
      <c r="AF49" s="55"/>
      <c r="AG49" s="55" t="s">
        <v>190</v>
      </c>
      <c r="AH49" s="55" t="e">
        <f>+'St of Net Assets - GA'!W50-'St of Activities - GA Exp'!AG49</f>
        <v>#VALUE!</v>
      </c>
    </row>
    <row r="50" spans="1:34" s="90" customFormat="1" ht="12">
      <c r="A50" s="54" t="s">
        <v>47</v>
      </c>
      <c r="B50" s="55"/>
      <c r="C50" s="55">
        <v>6277616</v>
      </c>
      <c r="D50" s="55"/>
      <c r="E50" s="55">
        <v>3901162</v>
      </c>
      <c r="F50" s="55"/>
      <c r="G50" s="55">
        <v>10248365</v>
      </c>
      <c r="H50" s="55"/>
      <c r="I50" s="55">
        <v>5897922</v>
      </c>
      <c r="J50" s="55"/>
      <c r="K50" s="55">
        <v>16219730</v>
      </c>
      <c r="L50" s="55"/>
      <c r="M50" s="55">
        <v>19950130</v>
      </c>
      <c r="N50" s="55"/>
      <c r="O50" s="55">
        <v>1202975</v>
      </c>
      <c r="P50" s="55"/>
      <c r="Q50" s="55">
        <v>20367</v>
      </c>
      <c r="R50" s="55"/>
      <c r="S50" s="55">
        <v>554592</v>
      </c>
      <c r="T50" s="55"/>
      <c r="U50" s="55">
        <v>40500</v>
      </c>
      <c r="V50" s="55"/>
      <c r="W50" s="55">
        <v>1774465</v>
      </c>
      <c r="X50" s="55"/>
      <c r="Y50" s="5">
        <v>15000</v>
      </c>
      <c r="Z50" s="55"/>
      <c r="AA50" s="55">
        <f t="shared" si="1"/>
        <v>66102824</v>
      </c>
      <c r="AB50" s="55"/>
      <c r="AC50" s="55">
        <f>+'St of Activities - GA Rev'!X53-'St of Activities - GA Exp'!AA50</f>
        <v>-369008</v>
      </c>
      <c r="AD50" s="55"/>
      <c r="AE50" s="55">
        <v>73707391</v>
      </c>
      <c r="AF50" s="55"/>
      <c r="AG50" s="55">
        <f>+AE50+AC50</f>
        <v>73338383</v>
      </c>
      <c r="AH50" s="55">
        <f>+'St of Net Assets - GA'!W51-'St of Activities - GA Exp'!AG50</f>
        <v>0</v>
      </c>
    </row>
    <row r="51" spans="1:34" s="90" customFormat="1" ht="12" hidden="1">
      <c r="A51" s="54" t="s">
        <v>48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">
        <v>0</v>
      </c>
      <c r="Z51" s="55"/>
      <c r="AA51" s="55">
        <f t="shared" si="1"/>
        <v>0</v>
      </c>
      <c r="AB51" s="55"/>
      <c r="AC51" s="55">
        <f>+'St of Activities - GA Rev'!X54-'St of Activities - GA Exp'!AA51</f>
        <v>0</v>
      </c>
      <c r="AD51" s="55"/>
      <c r="AE51" s="55"/>
      <c r="AF51" s="55"/>
      <c r="AG51" s="55">
        <f>+AE51+AC51</f>
        <v>0</v>
      </c>
      <c r="AH51" s="55">
        <f>+'St of Net Assets - GA'!W52-'St of Activities - GA Exp'!AG51</f>
        <v>0</v>
      </c>
    </row>
    <row r="52" spans="1:34" s="90" customFormat="1" ht="12">
      <c r="A52" s="54" t="s">
        <v>49</v>
      </c>
      <c r="B52" s="55"/>
      <c r="C52" s="55">
        <v>15471572</v>
      </c>
      <c r="D52" s="55"/>
      <c r="E52" s="55">
        <v>38407965</v>
      </c>
      <c r="F52" s="55"/>
      <c r="G52" s="55">
        <v>0</v>
      </c>
      <c r="H52" s="55"/>
      <c r="I52" s="55">
        <v>13232883</v>
      </c>
      <c r="J52" s="55"/>
      <c r="K52" s="55">
        <v>18778277</v>
      </c>
      <c r="L52" s="55"/>
      <c r="M52" s="55">
        <v>60300809</v>
      </c>
      <c r="N52" s="55"/>
      <c r="O52" s="55">
        <v>2918555</v>
      </c>
      <c r="P52" s="55"/>
      <c r="Q52" s="55">
        <v>0</v>
      </c>
      <c r="R52" s="55"/>
      <c r="S52" s="55">
        <v>0</v>
      </c>
      <c r="T52" s="55"/>
      <c r="U52" s="55">
        <v>0</v>
      </c>
      <c r="V52" s="55"/>
      <c r="W52" s="55">
        <v>1604408</v>
      </c>
      <c r="X52" s="55"/>
      <c r="Y52" s="5">
        <v>0</v>
      </c>
      <c r="Z52" s="55"/>
      <c r="AA52" s="55">
        <f t="shared" si="1"/>
        <v>150714469</v>
      </c>
      <c r="AB52" s="55"/>
      <c r="AC52" s="55">
        <f>+'St of Activities - GA Rev'!X55-'St of Activities - GA Exp'!AA52</f>
        <v>-1797496</v>
      </c>
      <c r="AD52" s="55"/>
      <c r="AE52" s="55">
        <v>263206137</v>
      </c>
      <c r="AF52" s="55"/>
      <c r="AG52" s="55">
        <f>+AC52+AE52</f>
        <v>261408641</v>
      </c>
      <c r="AH52" s="55">
        <f>+'St of Net Assets - GA'!W53-'St of Activities - GA Exp'!AG52</f>
        <v>0</v>
      </c>
    </row>
    <row r="53" spans="1:34" s="90" customFormat="1" ht="12" hidden="1">
      <c r="A53" s="54" t="s">
        <v>171</v>
      </c>
      <c r="B53" s="55"/>
      <c r="C53" s="55" t="s">
        <v>190</v>
      </c>
      <c r="D53" s="55"/>
      <c r="E53" s="55" t="s">
        <v>190</v>
      </c>
      <c r="F53" s="55"/>
      <c r="G53" s="55" t="s">
        <v>190</v>
      </c>
      <c r="H53" s="55"/>
      <c r="I53" s="55" t="s">
        <v>190</v>
      </c>
      <c r="J53" s="55"/>
      <c r="K53" s="55" t="s">
        <v>190</v>
      </c>
      <c r="L53" s="55"/>
      <c r="M53" s="55" t="s">
        <v>190</v>
      </c>
      <c r="N53" s="55"/>
      <c r="O53" s="55" t="s">
        <v>190</v>
      </c>
      <c r="P53" s="55"/>
      <c r="Q53" s="55" t="s">
        <v>190</v>
      </c>
      <c r="R53" s="55"/>
      <c r="S53" s="55" t="s">
        <v>190</v>
      </c>
      <c r="T53" s="55"/>
      <c r="U53" s="55" t="s">
        <v>190</v>
      </c>
      <c r="V53" s="55"/>
      <c r="W53" s="55" t="s">
        <v>190</v>
      </c>
      <c r="X53" s="55"/>
      <c r="Y53" s="5" t="e">
        <v>#VALUE!</v>
      </c>
      <c r="Z53" s="55"/>
      <c r="AA53" s="55" t="e">
        <f t="shared" si="1"/>
        <v>#VALUE!</v>
      </c>
      <c r="AB53" s="55"/>
      <c r="AC53" s="55" t="e">
        <f>+'St of Activities - GA Rev'!X56-'St of Activities - GA Exp'!AA53</f>
        <v>#VALUE!</v>
      </c>
      <c r="AD53" s="55"/>
      <c r="AE53" s="55" t="s">
        <v>190</v>
      </c>
      <c r="AF53" s="55"/>
      <c r="AG53" s="55" t="s">
        <v>190</v>
      </c>
      <c r="AH53" s="55" t="e">
        <f>+'St of Net Assets - GA'!W54-'St of Activities - GA Exp'!AG53</f>
        <v>#VALUE!</v>
      </c>
    </row>
    <row r="54" spans="1:34" s="90" customFormat="1" ht="12" hidden="1">
      <c r="A54" s="54" t="s">
        <v>50</v>
      </c>
      <c r="B54" s="55"/>
      <c r="C54" s="55" t="s">
        <v>190</v>
      </c>
      <c r="D54" s="55"/>
      <c r="E54" s="55" t="s">
        <v>190</v>
      </c>
      <c r="F54" s="55"/>
      <c r="G54" s="55" t="s">
        <v>190</v>
      </c>
      <c r="H54" s="55"/>
      <c r="I54" s="55" t="s">
        <v>190</v>
      </c>
      <c r="J54" s="55"/>
      <c r="K54" s="55" t="s">
        <v>190</v>
      </c>
      <c r="L54" s="55"/>
      <c r="M54" s="55" t="s">
        <v>190</v>
      </c>
      <c r="N54" s="55"/>
      <c r="O54" s="55" t="s">
        <v>190</v>
      </c>
      <c r="P54" s="55"/>
      <c r="Q54" s="55" t="s">
        <v>190</v>
      </c>
      <c r="R54" s="55"/>
      <c r="S54" s="55" t="s">
        <v>190</v>
      </c>
      <c r="T54" s="55"/>
      <c r="U54" s="55" t="s">
        <v>190</v>
      </c>
      <c r="V54" s="55"/>
      <c r="W54" s="55" t="s">
        <v>190</v>
      </c>
      <c r="X54" s="55"/>
      <c r="Y54" s="5" t="e">
        <v>#VALUE!</v>
      </c>
      <c r="Z54" s="55"/>
      <c r="AA54" s="55" t="e">
        <f t="shared" si="1"/>
        <v>#VALUE!</v>
      </c>
      <c r="AB54" s="55"/>
      <c r="AC54" s="55" t="e">
        <f>+'St of Activities - GA Rev'!X57-'St of Activities - GA Exp'!AA54</f>
        <v>#VALUE!</v>
      </c>
      <c r="AD54" s="55"/>
      <c r="AE54" s="55" t="s">
        <v>190</v>
      </c>
      <c r="AF54" s="55"/>
      <c r="AG54" s="55" t="s">
        <v>190</v>
      </c>
      <c r="AH54" s="55" t="e">
        <f>+'St of Net Assets - GA'!W55-'St of Activities - GA Exp'!AG54</f>
        <v>#VALUE!</v>
      </c>
    </row>
    <row r="55" spans="1:34" s="90" customFormat="1" ht="12" hidden="1">
      <c r="A55" s="54" t="s">
        <v>51</v>
      </c>
      <c r="B55" s="55"/>
      <c r="C55" s="55" t="s">
        <v>190</v>
      </c>
      <c r="D55" s="55"/>
      <c r="E55" s="55" t="s">
        <v>190</v>
      </c>
      <c r="F55" s="55"/>
      <c r="G55" s="55" t="s">
        <v>190</v>
      </c>
      <c r="H55" s="55"/>
      <c r="I55" s="55" t="s">
        <v>190</v>
      </c>
      <c r="J55" s="55"/>
      <c r="K55" s="55" t="s">
        <v>190</v>
      </c>
      <c r="L55" s="55"/>
      <c r="M55" s="55" t="s">
        <v>190</v>
      </c>
      <c r="N55" s="55"/>
      <c r="O55" s="55" t="s">
        <v>190</v>
      </c>
      <c r="P55" s="55"/>
      <c r="Q55" s="55" t="s">
        <v>190</v>
      </c>
      <c r="R55" s="55"/>
      <c r="S55" s="55" t="s">
        <v>190</v>
      </c>
      <c r="T55" s="55"/>
      <c r="U55" s="55" t="s">
        <v>190</v>
      </c>
      <c r="V55" s="55"/>
      <c r="W55" s="55" t="s">
        <v>190</v>
      </c>
      <c r="X55" s="55"/>
      <c r="Y55" s="5" t="e">
        <v>#VALUE!</v>
      </c>
      <c r="Z55" s="55"/>
      <c r="AA55" s="55" t="e">
        <f t="shared" si="1"/>
        <v>#VALUE!</v>
      </c>
      <c r="AB55" s="55"/>
      <c r="AC55" s="55" t="e">
        <f>+'St of Activities - GA Rev'!X58-'St of Activities - GA Exp'!AA55</f>
        <v>#VALUE!</v>
      </c>
      <c r="AD55" s="55"/>
      <c r="AE55" s="55" t="s">
        <v>190</v>
      </c>
      <c r="AF55" s="55"/>
      <c r="AG55" s="55" t="s">
        <v>190</v>
      </c>
      <c r="AH55" s="55" t="e">
        <f>+'St of Net Assets - GA'!W56-'St of Activities - GA Exp'!AG55</f>
        <v>#VALUE!</v>
      </c>
    </row>
    <row r="56" spans="1:34" s="90" customFormat="1" ht="12">
      <c r="A56" s="54" t="s">
        <v>52</v>
      </c>
      <c r="B56" s="55"/>
      <c r="C56" s="55">
        <v>34201123</v>
      </c>
      <c r="D56" s="55"/>
      <c r="E56" s="55">
        <v>15403674</v>
      </c>
      <c r="F56" s="55"/>
      <c r="G56" s="55">
        <v>19034878</v>
      </c>
      <c r="H56" s="55"/>
      <c r="I56" s="55">
        <v>11799212</v>
      </c>
      <c r="J56" s="55"/>
      <c r="K56" s="55">
        <v>42595535</v>
      </c>
      <c r="L56" s="55"/>
      <c r="M56" s="55">
        <v>72025168</v>
      </c>
      <c r="N56" s="55"/>
      <c r="O56" s="55">
        <v>820124</v>
      </c>
      <c r="P56" s="55"/>
      <c r="Q56" s="55">
        <v>0</v>
      </c>
      <c r="R56" s="55"/>
      <c r="S56" s="55">
        <v>0</v>
      </c>
      <c r="T56" s="55"/>
      <c r="U56" s="55">
        <v>588218</v>
      </c>
      <c r="V56" s="55"/>
      <c r="W56" s="55">
        <v>1681098</v>
      </c>
      <c r="X56" s="55"/>
      <c r="Y56" s="5">
        <v>0</v>
      </c>
      <c r="Z56" s="55"/>
      <c r="AA56" s="55">
        <f t="shared" si="1"/>
        <v>198149030</v>
      </c>
      <c r="AB56" s="55"/>
      <c r="AC56" s="55">
        <f>+'St of Activities - GA Rev'!X59-'St of Activities - GA Exp'!AA56</f>
        <v>826290</v>
      </c>
      <c r="AD56" s="55"/>
      <c r="AE56" s="55">
        <v>275852637</v>
      </c>
      <c r="AF56" s="55"/>
      <c r="AG56" s="55">
        <f>+AE56+AC56</f>
        <v>276678927</v>
      </c>
      <c r="AH56" s="55">
        <f>+'St of Net Assets - GA'!W57-'St of Activities - GA Exp'!AG56</f>
        <v>0</v>
      </c>
    </row>
    <row r="57" spans="1:34" s="90" customFormat="1" ht="12">
      <c r="A57" s="54" t="s">
        <v>196</v>
      </c>
      <c r="B57" s="55"/>
      <c r="C57" s="55">
        <v>40040000</v>
      </c>
      <c r="D57" s="55"/>
      <c r="E57" s="55">
        <v>54451000</v>
      </c>
      <c r="F57" s="55"/>
      <c r="G57" s="55">
        <v>57112000</v>
      </c>
      <c r="H57" s="55"/>
      <c r="I57" s="55">
        <v>27746000</v>
      </c>
      <c r="J57" s="55"/>
      <c r="K57" s="55">
        <v>92265000</v>
      </c>
      <c r="L57" s="55"/>
      <c r="M57" s="55">
        <v>111321000</v>
      </c>
      <c r="N57" s="55"/>
      <c r="O57" s="55">
        <v>0</v>
      </c>
      <c r="P57" s="55"/>
      <c r="Q57" s="55">
        <v>6052000</v>
      </c>
      <c r="R57" s="55"/>
      <c r="S57" s="55">
        <v>15832000</v>
      </c>
      <c r="T57" s="55"/>
      <c r="U57" s="55">
        <v>0</v>
      </c>
      <c r="V57" s="55"/>
      <c r="W57" s="55">
        <v>6809000</v>
      </c>
      <c r="X57" s="55"/>
      <c r="Y57" s="5">
        <v>0</v>
      </c>
      <c r="Z57" s="55"/>
      <c r="AA57" s="55">
        <f t="shared" si="1"/>
        <v>411628000</v>
      </c>
      <c r="AB57" s="55"/>
      <c r="AC57" s="55">
        <f>+'St of Activities - GA Rev'!X60-'St of Activities - GA Exp'!AA57</f>
        <v>38913000</v>
      </c>
      <c r="AD57" s="55"/>
      <c r="AE57" s="55">
        <v>433220000</v>
      </c>
      <c r="AF57" s="55"/>
      <c r="AG57" s="55">
        <f>+AE57+AC57</f>
        <v>472133000</v>
      </c>
      <c r="AH57" s="55">
        <f>+'St of Net Assets - GA'!W58-'St of Activities - GA Exp'!AG57</f>
        <v>0</v>
      </c>
    </row>
    <row r="58" spans="1:34" s="90" customFormat="1" ht="12" hidden="1">
      <c r="A58" s="54" t="s">
        <v>53</v>
      </c>
      <c r="B58" s="55"/>
      <c r="C58" s="55" t="s">
        <v>190</v>
      </c>
      <c r="D58" s="55"/>
      <c r="E58" s="55" t="s">
        <v>190</v>
      </c>
      <c r="F58" s="55"/>
      <c r="G58" s="55" t="s">
        <v>190</v>
      </c>
      <c r="H58" s="55"/>
      <c r="I58" s="55" t="s">
        <v>190</v>
      </c>
      <c r="J58" s="55"/>
      <c r="K58" s="55" t="s">
        <v>190</v>
      </c>
      <c r="L58" s="55"/>
      <c r="M58" s="55" t="s">
        <v>190</v>
      </c>
      <c r="N58" s="55"/>
      <c r="O58" s="55" t="s">
        <v>190</v>
      </c>
      <c r="P58" s="55"/>
      <c r="Q58" s="55" t="s">
        <v>190</v>
      </c>
      <c r="R58" s="55"/>
      <c r="S58" s="55" t="s">
        <v>190</v>
      </c>
      <c r="T58" s="55"/>
      <c r="U58" s="55" t="s">
        <v>190</v>
      </c>
      <c r="V58" s="55"/>
      <c r="W58" s="55" t="s">
        <v>190</v>
      </c>
      <c r="X58" s="55"/>
      <c r="Y58" s="5" t="e">
        <v>#VALUE!</v>
      </c>
      <c r="Z58" s="55"/>
      <c r="AA58" s="55" t="e">
        <f t="shared" si="1"/>
        <v>#VALUE!</v>
      </c>
      <c r="AB58" s="55"/>
      <c r="AC58" s="55" t="e">
        <f>+'St of Activities - GA Rev'!X61-'St of Activities - GA Exp'!AA58</f>
        <v>#VALUE!</v>
      </c>
      <c r="AD58" s="55"/>
      <c r="AE58" s="55" t="s">
        <v>190</v>
      </c>
      <c r="AF58" s="55"/>
      <c r="AG58" s="55" t="s">
        <v>190</v>
      </c>
      <c r="AH58" s="55" t="e">
        <f>+'St of Net Assets - GA'!W59-'St of Activities - GA Exp'!AG58</f>
        <v>#VALUE!</v>
      </c>
    </row>
    <row r="59" spans="1:34" s="90" customFormat="1" ht="12">
      <c r="A59" s="54" t="s">
        <v>54</v>
      </c>
      <c r="B59" s="55"/>
      <c r="C59" s="55">
        <v>15741222</v>
      </c>
      <c r="D59" s="55"/>
      <c r="E59" s="55">
        <v>15235327</v>
      </c>
      <c r="F59" s="55"/>
      <c r="G59" s="55">
        <v>25044434</v>
      </c>
      <c r="H59" s="55"/>
      <c r="I59" s="55">
        <v>11956276</v>
      </c>
      <c r="J59" s="55"/>
      <c r="K59" s="55">
        <v>44975438</v>
      </c>
      <c r="L59" s="55"/>
      <c r="M59" s="55">
        <v>55945853</v>
      </c>
      <c r="N59" s="55"/>
      <c r="O59" s="55">
        <v>0</v>
      </c>
      <c r="P59" s="55"/>
      <c r="Q59" s="55">
        <v>0</v>
      </c>
      <c r="R59" s="55"/>
      <c r="S59" s="55">
        <v>4220240</v>
      </c>
      <c r="T59" s="55"/>
      <c r="U59" s="55">
        <v>0</v>
      </c>
      <c r="V59" s="55"/>
      <c r="W59" s="55">
        <v>2211966</v>
      </c>
      <c r="X59" s="55"/>
      <c r="Y59" s="5">
        <v>452397</v>
      </c>
      <c r="Z59" s="55"/>
      <c r="AA59" s="55">
        <f t="shared" si="1"/>
        <v>175783153</v>
      </c>
      <c r="AB59" s="55"/>
      <c r="AC59" s="55">
        <f>+'St of Activities - GA Rev'!X62-'St of Activities - GA Exp'!AA59</f>
        <v>8240196</v>
      </c>
      <c r="AD59" s="55"/>
      <c r="AE59" s="55">
        <v>138615469</v>
      </c>
      <c r="AF59" s="55"/>
      <c r="AG59" s="55">
        <f>+AE59+AC59</f>
        <v>146855665</v>
      </c>
      <c r="AH59" s="55">
        <f>+'St of Net Assets - GA'!W60-'St of Activities - GA Exp'!AG59</f>
        <v>0</v>
      </c>
    </row>
    <row r="60" spans="1:34" s="90" customFormat="1" ht="12" hidden="1">
      <c r="A60" s="54" t="s">
        <v>55</v>
      </c>
      <c r="B60" s="55"/>
      <c r="C60" s="55" t="s">
        <v>190</v>
      </c>
      <c r="D60" s="55"/>
      <c r="E60" s="55" t="s">
        <v>190</v>
      </c>
      <c r="F60" s="55"/>
      <c r="G60" s="55" t="s">
        <v>190</v>
      </c>
      <c r="H60" s="55"/>
      <c r="I60" s="55" t="s">
        <v>190</v>
      </c>
      <c r="J60" s="55"/>
      <c r="K60" s="55" t="s">
        <v>190</v>
      </c>
      <c r="L60" s="55"/>
      <c r="M60" s="55" t="s">
        <v>190</v>
      </c>
      <c r="N60" s="55"/>
      <c r="O60" s="55" t="s">
        <v>190</v>
      </c>
      <c r="P60" s="55"/>
      <c r="Q60" s="55" t="s">
        <v>190</v>
      </c>
      <c r="R60" s="55"/>
      <c r="S60" s="55" t="s">
        <v>190</v>
      </c>
      <c r="T60" s="55"/>
      <c r="U60" s="55" t="s">
        <v>190</v>
      </c>
      <c r="V60" s="55"/>
      <c r="W60" s="55" t="s">
        <v>190</v>
      </c>
      <c r="X60" s="55"/>
      <c r="Y60" s="5" t="e">
        <v>#VALUE!</v>
      </c>
      <c r="Z60" s="55"/>
      <c r="AA60" s="55" t="e">
        <f t="shared" si="1"/>
        <v>#VALUE!</v>
      </c>
      <c r="AB60" s="55"/>
      <c r="AC60" s="55" t="e">
        <f>+'St of Activities - GA Rev'!X63-'St of Activities - GA Exp'!AA60</f>
        <v>#VALUE!</v>
      </c>
      <c r="AD60" s="55"/>
      <c r="AE60" s="55" t="s">
        <v>190</v>
      </c>
      <c r="AF60" s="55"/>
      <c r="AG60" s="55" t="s">
        <v>190</v>
      </c>
      <c r="AH60" s="55" t="e">
        <f>+'St of Net Assets - GA'!W61-'St of Activities - GA Exp'!AG60</f>
        <v>#VALUE!</v>
      </c>
    </row>
    <row r="61" spans="1:34" s="90" customFormat="1" ht="12">
      <c r="A61" s="54" t="s">
        <v>56</v>
      </c>
      <c r="B61" s="55"/>
      <c r="C61" s="55">
        <v>12038870</v>
      </c>
      <c r="D61" s="55"/>
      <c r="E61" s="55">
        <v>7979037</v>
      </c>
      <c r="F61" s="55"/>
      <c r="G61" s="55">
        <v>17742643</v>
      </c>
      <c r="H61" s="55"/>
      <c r="I61" s="55">
        <v>10640263</v>
      </c>
      <c r="J61" s="55"/>
      <c r="K61" s="55">
        <v>21148285</v>
      </c>
      <c r="L61" s="55"/>
      <c r="M61" s="55">
        <v>15900949</v>
      </c>
      <c r="N61" s="55"/>
      <c r="O61" s="55">
        <v>316437</v>
      </c>
      <c r="P61" s="55"/>
      <c r="Q61" s="55">
        <v>0</v>
      </c>
      <c r="R61" s="55"/>
      <c r="S61" s="55">
        <v>0</v>
      </c>
      <c r="T61" s="55"/>
      <c r="U61" s="55">
        <v>3012765</v>
      </c>
      <c r="V61" s="55"/>
      <c r="W61" s="55">
        <v>1153737</v>
      </c>
      <c r="X61" s="55"/>
      <c r="Y61" s="5">
        <v>0</v>
      </c>
      <c r="Z61" s="55"/>
      <c r="AA61" s="55">
        <f t="shared" si="1"/>
        <v>89932986</v>
      </c>
      <c r="AB61" s="55"/>
      <c r="AC61" s="55">
        <f>+'St of Activities - GA Rev'!X64-'St of Activities - GA Exp'!AA61</f>
        <v>2188493</v>
      </c>
      <c r="AD61" s="55"/>
      <c r="AE61" s="55">
        <v>93639569</v>
      </c>
      <c r="AF61" s="55"/>
      <c r="AG61" s="55">
        <f>+AE61+AC61</f>
        <v>95828062</v>
      </c>
      <c r="AH61" s="55">
        <f>+'St of Net Assets - GA'!W62-'St of Activities - GA Exp'!AG61</f>
        <v>0</v>
      </c>
    </row>
    <row r="62" spans="1:34" s="90" customFormat="1" ht="12" hidden="1">
      <c r="A62" s="54" t="s">
        <v>173</v>
      </c>
      <c r="B62" s="55"/>
      <c r="C62" s="55" t="s">
        <v>190</v>
      </c>
      <c r="D62" s="55"/>
      <c r="E62" s="55" t="s">
        <v>190</v>
      </c>
      <c r="F62" s="55"/>
      <c r="G62" s="55" t="s">
        <v>190</v>
      </c>
      <c r="H62" s="55"/>
      <c r="I62" s="55" t="s">
        <v>190</v>
      </c>
      <c r="J62" s="55"/>
      <c r="K62" s="55" t="s">
        <v>190</v>
      </c>
      <c r="L62" s="55"/>
      <c r="M62" s="55" t="s">
        <v>190</v>
      </c>
      <c r="N62" s="55"/>
      <c r="O62" s="55" t="s">
        <v>190</v>
      </c>
      <c r="P62" s="55"/>
      <c r="Q62" s="55" t="s">
        <v>190</v>
      </c>
      <c r="R62" s="55"/>
      <c r="S62" s="55" t="s">
        <v>190</v>
      </c>
      <c r="T62" s="55"/>
      <c r="U62" s="55" t="s">
        <v>190</v>
      </c>
      <c r="V62" s="55"/>
      <c r="W62" s="55" t="s">
        <v>190</v>
      </c>
      <c r="X62" s="55"/>
      <c r="Y62" s="5" t="e">
        <v>#VALUE!</v>
      </c>
      <c r="Z62" s="55"/>
      <c r="AA62" s="55" t="e">
        <f t="shared" si="1"/>
        <v>#VALUE!</v>
      </c>
      <c r="AB62" s="55"/>
      <c r="AC62" s="55" t="e">
        <f>+'St of Activities - GA Rev'!X65-'St of Activities - GA Exp'!AA62</f>
        <v>#VALUE!</v>
      </c>
      <c r="AD62" s="55"/>
      <c r="AE62" s="55" t="s">
        <v>190</v>
      </c>
      <c r="AF62" s="55"/>
      <c r="AG62" s="55" t="s">
        <v>190</v>
      </c>
      <c r="AH62" s="55" t="e">
        <f>+'St of Net Assets - GA'!W63-'St of Activities - GA Exp'!AG62</f>
        <v>#VALUE!</v>
      </c>
    </row>
    <row r="63" spans="1:34" s="90" customFormat="1" ht="12" hidden="1">
      <c r="A63" s="54" t="s">
        <v>57</v>
      </c>
      <c r="B63" s="55"/>
      <c r="C63" s="55" t="s">
        <v>190</v>
      </c>
      <c r="D63" s="55"/>
      <c r="E63" s="55" t="s">
        <v>190</v>
      </c>
      <c r="F63" s="55"/>
      <c r="G63" s="55" t="s">
        <v>190</v>
      </c>
      <c r="H63" s="55"/>
      <c r="I63" s="55" t="s">
        <v>190</v>
      </c>
      <c r="J63" s="55"/>
      <c r="K63" s="55" t="s">
        <v>190</v>
      </c>
      <c r="L63" s="55"/>
      <c r="M63" s="55" t="s">
        <v>190</v>
      </c>
      <c r="N63" s="55"/>
      <c r="O63" s="55" t="s">
        <v>190</v>
      </c>
      <c r="P63" s="55"/>
      <c r="Q63" s="55" t="s">
        <v>190</v>
      </c>
      <c r="R63" s="55"/>
      <c r="S63" s="55" t="s">
        <v>190</v>
      </c>
      <c r="T63" s="55"/>
      <c r="U63" s="55" t="s">
        <v>190</v>
      </c>
      <c r="V63" s="55"/>
      <c r="W63" s="55" t="s">
        <v>190</v>
      </c>
      <c r="X63" s="55"/>
      <c r="Y63" s="5" t="e">
        <v>#VALUE!</v>
      </c>
      <c r="Z63" s="55"/>
      <c r="AA63" s="55" t="e">
        <f t="shared" si="1"/>
        <v>#VALUE!</v>
      </c>
      <c r="AB63" s="55"/>
      <c r="AC63" s="55" t="e">
        <f>+'St of Activities - GA Rev'!X66-'St of Activities - GA Exp'!AA63</f>
        <v>#VALUE!</v>
      </c>
      <c r="AD63" s="55"/>
      <c r="AE63" s="55" t="s">
        <v>190</v>
      </c>
      <c r="AF63" s="55"/>
      <c r="AG63" s="55" t="s">
        <v>190</v>
      </c>
      <c r="AH63" s="55" t="e">
        <f>+'St of Net Assets - GA'!W64-'St of Activities - GA Exp'!AG63</f>
        <v>#VALUE!</v>
      </c>
    </row>
    <row r="64" spans="1:34" s="90" customFormat="1" ht="12" hidden="1">
      <c r="A64" s="54" t="s">
        <v>58</v>
      </c>
      <c r="B64" s="55"/>
      <c r="C64" s="55" t="s">
        <v>190</v>
      </c>
      <c r="D64" s="55"/>
      <c r="E64" s="55" t="s">
        <v>190</v>
      </c>
      <c r="F64" s="55"/>
      <c r="G64" s="55" t="s">
        <v>190</v>
      </c>
      <c r="H64" s="55"/>
      <c r="I64" s="55" t="s">
        <v>190</v>
      </c>
      <c r="J64" s="55"/>
      <c r="K64" s="55" t="s">
        <v>190</v>
      </c>
      <c r="L64" s="55"/>
      <c r="M64" s="55" t="s">
        <v>190</v>
      </c>
      <c r="N64" s="55"/>
      <c r="O64" s="55" t="s">
        <v>190</v>
      </c>
      <c r="P64" s="55"/>
      <c r="Q64" s="55" t="s">
        <v>190</v>
      </c>
      <c r="R64" s="55"/>
      <c r="S64" s="55" t="s">
        <v>190</v>
      </c>
      <c r="T64" s="55"/>
      <c r="U64" s="55" t="s">
        <v>190</v>
      </c>
      <c r="V64" s="55"/>
      <c r="W64" s="55" t="s">
        <v>190</v>
      </c>
      <c r="X64" s="55"/>
      <c r="Y64" s="5" t="e">
        <v>#VALUE!</v>
      </c>
      <c r="Z64" s="55"/>
      <c r="AA64" s="55" t="e">
        <f t="shared" si="1"/>
        <v>#VALUE!</v>
      </c>
      <c r="AB64" s="55"/>
      <c r="AC64" s="55" t="e">
        <f>+'St of Activities - GA Rev'!X67-'St of Activities - GA Exp'!AA64</f>
        <v>#VALUE!</v>
      </c>
      <c r="AD64" s="55"/>
      <c r="AE64" s="55" t="s">
        <v>190</v>
      </c>
      <c r="AF64" s="55"/>
      <c r="AG64" s="55" t="s">
        <v>190</v>
      </c>
      <c r="AH64" s="55" t="e">
        <f>+'St of Net Assets - GA'!W65-'St of Activities - GA Exp'!AG64</f>
        <v>#VALUE!</v>
      </c>
    </row>
    <row r="65" spans="1:34" s="90" customFormat="1" ht="12" hidden="1">
      <c r="A65" s="54" t="s">
        <v>59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">
        <v>0</v>
      </c>
      <c r="Z65" s="55"/>
      <c r="AA65" s="55">
        <f t="shared" si="1"/>
        <v>0</v>
      </c>
      <c r="AB65" s="55"/>
      <c r="AC65" s="55">
        <f>+'St of Activities - GA Rev'!X68-'St of Activities - GA Exp'!AA65</f>
        <v>0</v>
      </c>
      <c r="AD65" s="55"/>
      <c r="AE65" s="55"/>
      <c r="AF65" s="55"/>
      <c r="AG65" s="55">
        <f>+AE65+AC65</f>
        <v>0</v>
      </c>
      <c r="AH65" s="55">
        <f>+'St of Net Assets - GA'!W66-'St of Activities - GA Exp'!AG65</f>
        <v>0</v>
      </c>
    </row>
    <row r="66" spans="1:34" s="90" customFormat="1" ht="12">
      <c r="A66" s="54" t="s">
        <v>60</v>
      </c>
      <c r="B66" s="55"/>
      <c r="C66" s="55">
        <v>34130942</v>
      </c>
      <c r="D66" s="55"/>
      <c r="E66" s="55">
        <v>135730501</v>
      </c>
      <c r="F66" s="55"/>
      <c r="G66" s="55">
        <v>0</v>
      </c>
      <c r="H66" s="55"/>
      <c r="I66" s="55">
        <v>15480097</v>
      </c>
      <c r="J66" s="55"/>
      <c r="K66" s="55">
        <v>0</v>
      </c>
      <c r="L66" s="55"/>
      <c r="M66" s="55">
        <v>247528396</v>
      </c>
      <c r="N66" s="55"/>
      <c r="O66" s="55">
        <v>31588870</v>
      </c>
      <c r="P66" s="55"/>
      <c r="Q66" s="55">
        <v>0</v>
      </c>
      <c r="R66" s="55"/>
      <c r="S66" s="55">
        <v>0</v>
      </c>
      <c r="T66" s="55"/>
      <c r="U66" s="55">
        <v>0</v>
      </c>
      <c r="V66" s="55"/>
      <c r="W66" s="55">
        <v>2356195</v>
      </c>
      <c r="X66" s="55"/>
      <c r="Y66" s="5">
        <v>4336621</v>
      </c>
      <c r="Z66" s="55"/>
      <c r="AA66" s="55">
        <f t="shared" si="1"/>
        <v>471151622</v>
      </c>
      <c r="AB66" s="55"/>
      <c r="AC66" s="55">
        <f>+'St of Activities - GA Rev'!X69-'St of Activities - GA Exp'!AA66</f>
        <v>4175009</v>
      </c>
      <c r="AD66" s="55"/>
      <c r="AE66" s="55">
        <v>728759075</v>
      </c>
      <c r="AF66" s="55"/>
      <c r="AG66" s="55">
        <f>+AE66+AC66</f>
        <v>732934084</v>
      </c>
      <c r="AH66" s="55">
        <f>+'St of Net Assets - GA'!W67-'St of Activities - GA Exp'!AG66</f>
        <v>0</v>
      </c>
    </row>
    <row r="67" spans="1:34" s="90" customFormat="1" ht="12" hidden="1">
      <c r="A67" s="54" t="s">
        <v>61</v>
      </c>
      <c r="B67" s="55"/>
      <c r="C67" s="55" t="s">
        <v>190</v>
      </c>
      <c r="D67" s="55"/>
      <c r="E67" s="55" t="s">
        <v>190</v>
      </c>
      <c r="F67" s="55"/>
      <c r="G67" s="55" t="s">
        <v>190</v>
      </c>
      <c r="H67" s="55"/>
      <c r="I67" s="55" t="s">
        <v>190</v>
      </c>
      <c r="J67" s="55"/>
      <c r="K67" s="55" t="s">
        <v>190</v>
      </c>
      <c r="L67" s="55"/>
      <c r="M67" s="55" t="s">
        <v>190</v>
      </c>
      <c r="N67" s="55"/>
      <c r="O67" s="55" t="s">
        <v>190</v>
      </c>
      <c r="P67" s="55"/>
      <c r="Q67" s="55" t="s">
        <v>190</v>
      </c>
      <c r="R67" s="55"/>
      <c r="S67" s="55" t="s">
        <v>190</v>
      </c>
      <c r="T67" s="55"/>
      <c r="U67" s="55" t="s">
        <v>190</v>
      </c>
      <c r="V67" s="55"/>
      <c r="W67" s="55" t="s">
        <v>190</v>
      </c>
      <c r="X67" s="55"/>
      <c r="Y67" s="5" t="e">
        <v>#VALUE!</v>
      </c>
      <c r="Z67" s="55"/>
      <c r="AA67" s="55" t="e">
        <f t="shared" si="1"/>
        <v>#VALUE!</v>
      </c>
      <c r="AB67" s="55"/>
      <c r="AC67" s="55" t="e">
        <f>+'St of Activities - GA Rev'!X70-'St of Activities - GA Exp'!AA67</f>
        <v>#VALUE!</v>
      </c>
      <c r="AD67" s="55"/>
      <c r="AE67" s="55" t="s">
        <v>190</v>
      </c>
      <c r="AF67" s="55"/>
      <c r="AG67" s="55" t="s">
        <v>190</v>
      </c>
      <c r="AH67" s="55" t="e">
        <f>+'St of Net Assets - GA'!W68-'St of Activities - GA Exp'!AG67</f>
        <v>#VALUE!</v>
      </c>
    </row>
    <row r="68" spans="1:34" s="90" customFormat="1" ht="12" hidden="1">
      <c r="A68" s="54" t="s">
        <v>62</v>
      </c>
      <c r="B68" s="55"/>
      <c r="C68" s="55" t="s">
        <v>190</v>
      </c>
      <c r="D68" s="55"/>
      <c r="E68" s="55" t="s">
        <v>190</v>
      </c>
      <c r="F68" s="55"/>
      <c r="G68" s="55" t="s">
        <v>190</v>
      </c>
      <c r="H68" s="55"/>
      <c r="I68" s="55" t="s">
        <v>190</v>
      </c>
      <c r="J68" s="55"/>
      <c r="K68" s="55" t="s">
        <v>190</v>
      </c>
      <c r="L68" s="55"/>
      <c r="M68" s="55" t="s">
        <v>190</v>
      </c>
      <c r="N68" s="55"/>
      <c r="O68" s="55" t="s">
        <v>190</v>
      </c>
      <c r="P68" s="55"/>
      <c r="Q68" s="55" t="s">
        <v>190</v>
      </c>
      <c r="R68" s="55"/>
      <c r="S68" s="55" t="s">
        <v>190</v>
      </c>
      <c r="T68" s="55"/>
      <c r="U68" s="55" t="s">
        <v>190</v>
      </c>
      <c r="V68" s="55"/>
      <c r="W68" s="55" t="s">
        <v>190</v>
      </c>
      <c r="X68" s="55"/>
      <c r="Y68" s="5" t="e">
        <v>#VALUE!</v>
      </c>
      <c r="Z68" s="55"/>
      <c r="AA68" s="55" t="e">
        <f t="shared" si="1"/>
        <v>#VALUE!</v>
      </c>
      <c r="AB68" s="55"/>
      <c r="AC68" s="55" t="e">
        <f>+'St of Activities - GA Rev'!X71-'St of Activities - GA Exp'!AA68</f>
        <v>#VALUE!</v>
      </c>
      <c r="AD68" s="55"/>
      <c r="AE68" s="55" t="s">
        <v>190</v>
      </c>
      <c r="AF68" s="55"/>
      <c r="AG68" s="55" t="s">
        <v>190</v>
      </c>
      <c r="AH68" s="55" t="e">
        <f>+'St of Net Assets - GA'!W69-'St of Activities - GA Exp'!AG68</f>
        <v>#VALUE!</v>
      </c>
    </row>
    <row r="69" spans="1:34" s="90" customFormat="1" ht="12" hidden="1">
      <c r="A69" s="54" t="s">
        <v>63</v>
      </c>
      <c r="B69" s="55"/>
      <c r="C69" s="55" t="s">
        <v>190</v>
      </c>
      <c r="D69" s="55"/>
      <c r="E69" s="55" t="s">
        <v>190</v>
      </c>
      <c r="F69" s="55"/>
      <c r="G69" s="55" t="s">
        <v>190</v>
      </c>
      <c r="H69" s="55"/>
      <c r="I69" s="55" t="s">
        <v>190</v>
      </c>
      <c r="J69" s="55"/>
      <c r="K69" s="55" t="s">
        <v>190</v>
      </c>
      <c r="L69" s="55"/>
      <c r="M69" s="55" t="s">
        <v>190</v>
      </c>
      <c r="N69" s="55"/>
      <c r="O69" s="55" t="s">
        <v>190</v>
      </c>
      <c r="P69" s="55"/>
      <c r="Q69" s="55" t="s">
        <v>190</v>
      </c>
      <c r="R69" s="55"/>
      <c r="S69" s="55" t="s">
        <v>190</v>
      </c>
      <c r="T69" s="55"/>
      <c r="U69" s="55" t="s">
        <v>190</v>
      </c>
      <c r="V69" s="55"/>
      <c r="W69" s="55" t="s">
        <v>190</v>
      </c>
      <c r="X69" s="55"/>
      <c r="Y69" s="5" t="e">
        <v>#VALUE!</v>
      </c>
      <c r="Z69" s="55"/>
      <c r="AA69" s="55" t="e">
        <f t="shared" si="1"/>
        <v>#VALUE!</v>
      </c>
      <c r="AB69" s="55"/>
      <c r="AC69" s="55" t="e">
        <f>+'St of Activities - GA Rev'!X72-'St of Activities - GA Exp'!AA69</f>
        <v>#VALUE!</v>
      </c>
      <c r="AD69" s="55"/>
      <c r="AE69" s="55" t="s">
        <v>190</v>
      </c>
      <c r="AF69" s="55"/>
      <c r="AG69" s="55" t="s">
        <v>190</v>
      </c>
      <c r="AH69" s="55" t="e">
        <f>+'St of Net Assets - GA'!W70-'St of Activities - GA Exp'!AG69</f>
        <v>#VALUE!</v>
      </c>
    </row>
    <row r="70" spans="1:34" s="90" customFormat="1" ht="12">
      <c r="A70" s="54" t="s">
        <v>64</v>
      </c>
      <c r="B70" s="55"/>
      <c r="C70" s="55">
        <v>1598199</v>
      </c>
      <c r="D70" s="55"/>
      <c r="E70" s="55">
        <v>411745</v>
      </c>
      <c r="F70" s="55"/>
      <c r="G70" s="55">
        <v>1647578</v>
      </c>
      <c r="H70" s="55"/>
      <c r="I70" s="55">
        <v>3524247</v>
      </c>
      <c r="J70" s="55"/>
      <c r="K70" s="55">
        <v>758927</v>
      </c>
      <c r="L70" s="55"/>
      <c r="M70" s="55">
        <v>3544067</v>
      </c>
      <c r="N70" s="55"/>
      <c r="O70" s="55">
        <v>288718</v>
      </c>
      <c r="P70" s="55"/>
      <c r="Q70" s="55">
        <v>0</v>
      </c>
      <c r="R70" s="55"/>
      <c r="S70" s="55">
        <v>127273</v>
      </c>
      <c r="T70" s="55"/>
      <c r="U70" s="55">
        <v>361125</v>
      </c>
      <c r="V70" s="55"/>
      <c r="W70" s="55">
        <v>76235</v>
      </c>
      <c r="X70" s="55"/>
      <c r="Y70" s="5">
        <v>0</v>
      </c>
      <c r="Z70" s="55"/>
      <c r="AA70" s="55">
        <f t="shared" si="1"/>
        <v>12338114</v>
      </c>
      <c r="AB70" s="55"/>
      <c r="AC70" s="55">
        <f>+'St of Activities - GA Rev'!X73-'St of Activities - GA Exp'!AA70</f>
        <v>-1743205</v>
      </c>
      <c r="AD70" s="55"/>
      <c r="AE70" s="55">
        <v>25806970</v>
      </c>
      <c r="AF70" s="55"/>
      <c r="AG70" s="55">
        <f>+AE70+AC70</f>
        <v>24063765</v>
      </c>
      <c r="AH70" s="55">
        <f>+'St of Net Assets - GA'!W71-'St of Activities - GA Exp'!AG70</f>
        <v>0</v>
      </c>
    </row>
    <row r="71" spans="1:34" s="90" customFormat="1" ht="12" hidden="1">
      <c r="A71" s="54" t="s">
        <v>65</v>
      </c>
      <c r="B71" s="55"/>
      <c r="C71" s="55" t="s">
        <v>190</v>
      </c>
      <c r="D71" s="55"/>
      <c r="E71" s="55" t="s">
        <v>190</v>
      </c>
      <c r="F71" s="55"/>
      <c r="G71" s="55" t="s">
        <v>190</v>
      </c>
      <c r="H71" s="55"/>
      <c r="I71" s="55" t="s">
        <v>190</v>
      </c>
      <c r="J71" s="55"/>
      <c r="K71" s="55" t="s">
        <v>190</v>
      </c>
      <c r="L71" s="55"/>
      <c r="M71" s="55" t="s">
        <v>190</v>
      </c>
      <c r="N71" s="55"/>
      <c r="O71" s="55" t="s">
        <v>190</v>
      </c>
      <c r="P71" s="55"/>
      <c r="Q71" s="55" t="s">
        <v>190</v>
      </c>
      <c r="R71" s="55"/>
      <c r="S71" s="55" t="s">
        <v>190</v>
      </c>
      <c r="T71" s="55"/>
      <c r="U71" s="55" t="s">
        <v>190</v>
      </c>
      <c r="V71" s="55"/>
      <c r="W71" s="55" t="s">
        <v>190</v>
      </c>
      <c r="X71" s="55"/>
      <c r="Y71" s="5" t="e">
        <v>#VALUE!</v>
      </c>
      <c r="Z71" s="55"/>
      <c r="AA71" s="55" t="e">
        <f t="shared" si="1"/>
        <v>#VALUE!</v>
      </c>
      <c r="AB71" s="55"/>
      <c r="AC71" s="55" t="e">
        <f>+'St of Activities - GA Rev'!X74-'St of Activities - GA Exp'!AA71</f>
        <v>#VALUE!</v>
      </c>
      <c r="AD71" s="55"/>
      <c r="AE71" s="55" t="s">
        <v>190</v>
      </c>
      <c r="AF71" s="55"/>
      <c r="AG71" s="55" t="s">
        <v>190</v>
      </c>
      <c r="AH71" s="55" t="e">
        <f>+'St of Net Assets - GA'!W72-'St of Activities - GA Exp'!AG71</f>
        <v>#VALUE!</v>
      </c>
    </row>
    <row r="72" spans="1:34" s="90" customFormat="1" ht="12" hidden="1">
      <c r="A72" s="54" t="s">
        <v>134</v>
      </c>
      <c r="B72" s="55"/>
      <c r="C72" s="55" t="s">
        <v>190</v>
      </c>
      <c r="D72" s="55"/>
      <c r="E72" s="55" t="s">
        <v>190</v>
      </c>
      <c r="F72" s="55"/>
      <c r="G72" s="55" t="s">
        <v>190</v>
      </c>
      <c r="H72" s="55"/>
      <c r="I72" s="55" t="s">
        <v>190</v>
      </c>
      <c r="J72" s="55"/>
      <c r="K72" s="55" t="s">
        <v>190</v>
      </c>
      <c r="L72" s="55"/>
      <c r="M72" s="55" t="s">
        <v>190</v>
      </c>
      <c r="N72" s="55"/>
      <c r="O72" s="55" t="s">
        <v>190</v>
      </c>
      <c r="P72" s="55"/>
      <c r="Q72" s="55" t="s">
        <v>190</v>
      </c>
      <c r="R72" s="55"/>
      <c r="S72" s="55" t="s">
        <v>190</v>
      </c>
      <c r="T72" s="55"/>
      <c r="U72" s="55" t="s">
        <v>190</v>
      </c>
      <c r="V72" s="55"/>
      <c r="W72" s="55" t="s">
        <v>190</v>
      </c>
      <c r="X72" s="55"/>
      <c r="Y72" s="5" t="e">
        <v>#VALUE!</v>
      </c>
      <c r="Z72" s="55"/>
      <c r="AA72" s="55" t="e">
        <f t="shared" si="1"/>
        <v>#VALUE!</v>
      </c>
      <c r="AB72" s="55"/>
      <c r="AC72" s="55" t="e">
        <f>+'St of Activities - GA Rev'!X75-'St of Activities - GA Exp'!AA72</f>
        <v>#VALUE!</v>
      </c>
      <c r="AD72" s="55"/>
      <c r="AE72" s="55" t="s">
        <v>190</v>
      </c>
      <c r="AF72" s="55"/>
      <c r="AG72" s="55" t="s">
        <v>190</v>
      </c>
      <c r="AH72" s="55" t="e">
        <f>+'St of Net Assets - GA'!W73-'St of Activities - GA Exp'!AG72</f>
        <v>#VALUE!</v>
      </c>
    </row>
    <row r="73" spans="1:34" s="90" customFormat="1" ht="12" hidden="1">
      <c r="A73" s="54" t="s">
        <v>66</v>
      </c>
      <c r="B73" s="55"/>
      <c r="C73" s="55" t="s">
        <v>190</v>
      </c>
      <c r="D73" s="55"/>
      <c r="E73" s="55" t="s">
        <v>190</v>
      </c>
      <c r="F73" s="55"/>
      <c r="G73" s="55" t="s">
        <v>190</v>
      </c>
      <c r="H73" s="55"/>
      <c r="I73" s="55" t="s">
        <v>190</v>
      </c>
      <c r="J73" s="55"/>
      <c r="K73" s="55" t="s">
        <v>190</v>
      </c>
      <c r="L73" s="55"/>
      <c r="M73" s="55" t="s">
        <v>190</v>
      </c>
      <c r="N73" s="55"/>
      <c r="O73" s="55" t="s">
        <v>190</v>
      </c>
      <c r="P73" s="55"/>
      <c r="Q73" s="55" t="s">
        <v>190</v>
      </c>
      <c r="R73" s="55"/>
      <c r="S73" s="55" t="s">
        <v>190</v>
      </c>
      <c r="T73" s="55"/>
      <c r="U73" s="55" t="s">
        <v>190</v>
      </c>
      <c r="V73" s="55"/>
      <c r="W73" s="55" t="s">
        <v>190</v>
      </c>
      <c r="X73" s="55"/>
      <c r="Y73" s="5" t="e">
        <v>#VALUE!</v>
      </c>
      <c r="Z73" s="55"/>
      <c r="AA73" s="55" t="e">
        <f t="shared" si="1"/>
        <v>#VALUE!</v>
      </c>
      <c r="AB73" s="55"/>
      <c r="AC73" s="55" t="e">
        <f>+'St of Activities - GA Rev'!X76-'St of Activities - GA Exp'!AA73</f>
        <v>#VALUE!</v>
      </c>
      <c r="AD73" s="55"/>
      <c r="AE73" s="55" t="s">
        <v>190</v>
      </c>
      <c r="AF73" s="55"/>
      <c r="AG73" s="55" t="s">
        <v>190</v>
      </c>
      <c r="AH73" s="55" t="e">
        <f>+'St of Net Assets - GA'!W74-'St of Activities - GA Exp'!AG73</f>
        <v>#VALUE!</v>
      </c>
    </row>
    <row r="74" spans="1:34" s="90" customFormat="1" ht="12">
      <c r="A74" s="54" t="s">
        <v>67</v>
      </c>
      <c r="B74" s="55"/>
      <c r="C74" s="55">
        <v>3564717</v>
      </c>
      <c r="D74" s="55"/>
      <c r="E74" s="55">
        <v>1519757</v>
      </c>
      <c r="F74" s="55"/>
      <c r="G74" s="55">
        <v>5274133</v>
      </c>
      <c r="H74" s="55"/>
      <c r="I74" s="55">
        <v>4975894</v>
      </c>
      <c r="J74" s="55"/>
      <c r="K74" s="55">
        <v>3568465</v>
      </c>
      <c r="L74" s="55"/>
      <c r="M74" s="55">
        <v>8646686</v>
      </c>
      <c r="N74" s="55"/>
      <c r="O74" s="55">
        <v>784952</v>
      </c>
      <c r="P74" s="55"/>
      <c r="Q74" s="55">
        <v>358391</v>
      </c>
      <c r="R74" s="55"/>
      <c r="S74" s="55">
        <v>78526</v>
      </c>
      <c r="T74" s="55"/>
      <c r="U74" s="55">
        <v>0</v>
      </c>
      <c r="V74" s="55"/>
      <c r="W74" s="55">
        <v>188928</v>
      </c>
      <c r="X74" s="55"/>
      <c r="Y74" s="5">
        <v>0</v>
      </c>
      <c r="Z74" s="55"/>
      <c r="AA74" s="55">
        <f t="shared" si="1"/>
        <v>28960449</v>
      </c>
      <c r="AB74" s="55"/>
      <c r="AC74" s="55">
        <f>+'St of Activities - GA Rev'!X77-'St of Activities - GA Exp'!AA74</f>
        <v>2606580</v>
      </c>
      <c r="AD74" s="55"/>
      <c r="AE74" s="55">
        <v>32283173</v>
      </c>
      <c r="AF74" s="55"/>
      <c r="AG74" s="55">
        <f>+AE74+AC74</f>
        <v>34889753</v>
      </c>
      <c r="AH74" s="55">
        <f>+'St of Net Assets - GA'!W75-'St of Activities - GA Exp'!AG74</f>
        <v>0</v>
      </c>
    </row>
    <row r="75" spans="1:34" s="90" customFormat="1" ht="12" hidden="1">
      <c r="A75" s="54" t="s">
        <v>68</v>
      </c>
      <c r="B75" s="55"/>
      <c r="C75" s="55" t="s">
        <v>190</v>
      </c>
      <c r="D75" s="55"/>
      <c r="E75" s="55" t="s">
        <v>190</v>
      </c>
      <c r="F75" s="55"/>
      <c r="G75" s="55" t="s">
        <v>190</v>
      </c>
      <c r="H75" s="55"/>
      <c r="I75" s="55" t="s">
        <v>190</v>
      </c>
      <c r="J75" s="55"/>
      <c r="K75" s="55" t="s">
        <v>190</v>
      </c>
      <c r="L75" s="55"/>
      <c r="M75" s="55" t="s">
        <v>190</v>
      </c>
      <c r="N75" s="55"/>
      <c r="O75" s="55" t="s">
        <v>190</v>
      </c>
      <c r="P75" s="55"/>
      <c r="Q75" s="55" t="s">
        <v>190</v>
      </c>
      <c r="R75" s="55"/>
      <c r="S75" s="55" t="s">
        <v>190</v>
      </c>
      <c r="T75" s="55"/>
      <c r="U75" s="55" t="s">
        <v>190</v>
      </c>
      <c r="V75" s="55"/>
      <c r="W75" s="55" t="s">
        <v>190</v>
      </c>
      <c r="X75" s="55"/>
      <c r="Y75" s="5" t="e">
        <v>#VALUE!</v>
      </c>
      <c r="Z75" s="55"/>
      <c r="AA75" s="55" t="e">
        <f t="shared" si="1"/>
        <v>#VALUE!</v>
      </c>
      <c r="AB75" s="55"/>
      <c r="AC75" s="55" t="e">
        <f>+'St of Activities - GA Rev'!X78-'St of Activities - GA Exp'!AA75</f>
        <v>#VALUE!</v>
      </c>
      <c r="AD75" s="55"/>
      <c r="AE75" s="55" t="s">
        <v>190</v>
      </c>
      <c r="AF75" s="55"/>
      <c r="AG75" s="55" t="s">
        <v>190</v>
      </c>
      <c r="AH75" s="55" t="e">
        <f>+'St of Net Assets - GA'!W76-'St of Activities - GA Exp'!AG75</f>
        <v>#VALUE!</v>
      </c>
    </row>
    <row r="76" spans="1:34" s="90" customFormat="1" ht="12">
      <c r="A76" s="54" t="s">
        <v>69</v>
      </c>
      <c r="B76" s="55"/>
      <c r="C76" s="55">
        <v>16382647</v>
      </c>
      <c r="D76" s="55"/>
      <c r="E76" s="55">
        <v>8959994</v>
      </c>
      <c r="F76" s="55"/>
      <c r="G76" s="55">
        <v>15071787</v>
      </c>
      <c r="H76" s="55"/>
      <c r="I76" s="55">
        <v>7722316</v>
      </c>
      <c r="J76" s="55"/>
      <c r="K76" s="55">
        <v>26562713</v>
      </c>
      <c r="L76" s="55"/>
      <c r="M76" s="55">
        <v>19345181</v>
      </c>
      <c r="N76" s="55"/>
      <c r="O76" s="55">
        <v>0</v>
      </c>
      <c r="P76" s="55"/>
      <c r="Q76" s="55">
        <v>0</v>
      </c>
      <c r="R76" s="55"/>
      <c r="S76" s="55">
        <v>225241</v>
      </c>
      <c r="T76" s="55"/>
      <c r="U76" s="55">
        <v>8294</v>
      </c>
      <c r="V76" s="55"/>
      <c r="W76" s="55">
        <v>1133468</v>
      </c>
      <c r="X76" s="55"/>
      <c r="Y76" s="5">
        <v>0</v>
      </c>
      <c r="Z76" s="55"/>
      <c r="AA76" s="55">
        <f t="shared" si="1"/>
        <v>95411641</v>
      </c>
      <c r="AB76" s="55"/>
      <c r="AC76" s="55">
        <f>+'St of Activities - GA Rev'!X79-'St of Activities - GA Exp'!AA76</f>
        <v>-1693286</v>
      </c>
      <c r="AD76" s="55"/>
      <c r="AE76" s="55">
        <v>129029268</v>
      </c>
      <c r="AF76" s="55"/>
      <c r="AG76" s="55">
        <f>+AE76+AC76</f>
        <v>127335982</v>
      </c>
      <c r="AH76" s="55">
        <f>+'St of Net Assets - GA'!W77-'St of Activities - GA Exp'!AG76</f>
        <v>0</v>
      </c>
    </row>
    <row r="77" spans="1:34" s="90" customFormat="1" ht="12" hidden="1">
      <c r="A77" s="54" t="s">
        <v>70</v>
      </c>
      <c r="B77" s="55"/>
      <c r="C77" s="55" t="s">
        <v>190</v>
      </c>
      <c r="D77" s="55"/>
      <c r="E77" s="55" t="s">
        <v>190</v>
      </c>
      <c r="F77" s="55"/>
      <c r="G77" s="55" t="s">
        <v>190</v>
      </c>
      <c r="H77" s="55"/>
      <c r="I77" s="55" t="s">
        <v>190</v>
      </c>
      <c r="J77" s="55"/>
      <c r="K77" s="55" t="s">
        <v>190</v>
      </c>
      <c r="L77" s="55"/>
      <c r="M77" s="55" t="s">
        <v>190</v>
      </c>
      <c r="N77" s="55"/>
      <c r="O77" s="55" t="s">
        <v>190</v>
      </c>
      <c r="P77" s="55"/>
      <c r="Q77" s="55" t="s">
        <v>190</v>
      </c>
      <c r="R77" s="55"/>
      <c r="S77" s="55" t="s">
        <v>190</v>
      </c>
      <c r="T77" s="55"/>
      <c r="U77" s="55" t="s">
        <v>190</v>
      </c>
      <c r="V77" s="55"/>
      <c r="W77" s="55" t="s">
        <v>190</v>
      </c>
      <c r="X77" s="55"/>
      <c r="Y77" s="5" t="e">
        <v>#VALUE!</v>
      </c>
      <c r="Z77" s="55"/>
      <c r="AA77" s="55" t="e">
        <f t="shared" si="1"/>
        <v>#VALUE!</v>
      </c>
      <c r="AB77" s="55"/>
      <c r="AC77" s="55" t="e">
        <f>+'St of Activities - GA Rev'!X80-'St of Activities - GA Exp'!AA77</f>
        <v>#VALUE!</v>
      </c>
      <c r="AD77" s="55"/>
      <c r="AE77" s="55" t="s">
        <v>190</v>
      </c>
      <c r="AF77" s="55"/>
      <c r="AG77" s="55" t="s">
        <v>190</v>
      </c>
      <c r="AH77" s="55" t="e">
        <f>+'St of Net Assets - GA'!W78-'St of Activities - GA Exp'!AG77</f>
        <v>#VALUE!</v>
      </c>
    </row>
    <row r="78" spans="1:34" s="90" customFormat="1" ht="12" hidden="1">
      <c r="A78" s="54" t="s">
        <v>186</v>
      </c>
      <c r="B78" s="55"/>
      <c r="C78" s="55" t="s">
        <v>190</v>
      </c>
      <c r="D78" s="55"/>
      <c r="E78" s="55" t="s">
        <v>190</v>
      </c>
      <c r="F78" s="55"/>
      <c r="G78" s="55" t="s">
        <v>190</v>
      </c>
      <c r="H78" s="55"/>
      <c r="I78" s="55" t="s">
        <v>190</v>
      </c>
      <c r="J78" s="55"/>
      <c r="K78" s="55" t="s">
        <v>190</v>
      </c>
      <c r="L78" s="55"/>
      <c r="M78" s="55" t="s">
        <v>190</v>
      </c>
      <c r="N78" s="55"/>
      <c r="O78" s="55" t="s">
        <v>190</v>
      </c>
      <c r="P78" s="55"/>
      <c r="Q78" s="55" t="s">
        <v>190</v>
      </c>
      <c r="R78" s="55"/>
      <c r="S78" s="55" t="s">
        <v>190</v>
      </c>
      <c r="T78" s="55"/>
      <c r="U78" s="55" t="s">
        <v>190</v>
      </c>
      <c r="V78" s="55"/>
      <c r="W78" s="55" t="s">
        <v>190</v>
      </c>
      <c r="X78" s="55"/>
      <c r="Y78" s="5" t="e">
        <v>#VALUE!</v>
      </c>
      <c r="Z78" s="55"/>
      <c r="AA78" s="55" t="e">
        <f t="shared" si="1"/>
        <v>#VALUE!</v>
      </c>
      <c r="AB78" s="55"/>
      <c r="AC78" s="55" t="e">
        <f>+'St of Activities - GA Rev'!X81-'St of Activities - GA Exp'!AA78</f>
        <v>#VALUE!</v>
      </c>
      <c r="AD78" s="55"/>
      <c r="AE78" s="55" t="s">
        <v>190</v>
      </c>
      <c r="AF78" s="55"/>
      <c r="AG78" s="55" t="s">
        <v>190</v>
      </c>
      <c r="AH78" s="55" t="e">
        <f>+'St of Net Assets - GA'!W79-'St of Activities - GA Exp'!AG78</f>
        <v>#VALUE!</v>
      </c>
    </row>
    <row r="79" spans="1:34" s="90" customFormat="1" ht="12">
      <c r="A79" s="54" t="s">
        <v>191</v>
      </c>
      <c r="B79" s="55"/>
      <c r="C79" s="55">
        <v>9023571</v>
      </c>
      <c r="D79" s="55"/>
      <c r="E79" s="55">
        <v>5796280</v>
      </c>
      <c r="F79" s="55"/>
      <c r="G79" s="55">
        <v>11372935</v>
      </c>
      <c r="H79" s="55"/>
      <c r="I79" s="55">
        <v>7402769</v>
      </c>
      <c r="J79" s="55"/>
      <c r="K79" s="55">
        <v>31493686</v>
      </c>
      <c r="L79" s="55"/>
      <c r="M79" s="55">
        <v>31844902</v>
      </c>
      <c r="N79" s="55"/>
      <c r="O79" s="55">
        <v>359831</v>
      </c>
      <c r="P79" s="55"/>
      <c r="Q79" s="55">
        <v>223593</v>
      </c>
      <c r="R79" s="55"/>
      <c r="S79" s="55">
        <v>147980</v>
      </c>
      <c r="T79" s="55"/>
      <c r="U79" s="55">
        <v>998986</v>
      </c>
      <c r="V79" s="55"/>
      <c r="W79" s="55">
        <v>1312864</v>
      </c>
      <c r="X79" s="55"/>
      <c r="Y79" s="5">
        <v>1166686</v>
      </c>
      <c r="Z79" s="55"/>
      <c r="AA79" s="55">
        <f t="shared" si="1"/>
        <v>101144083</v>
      </c>
      <c r="AB79" s="55"/>
      <c r="AC79" s="55">
        <f>+'St of Activities - GA Rev'!X82-'St of Activities - GA Exp'!AA79</f>
        <v>-4365541</v>
      </c>
      <c r="AD79" s="55"/>
      <c r="AE79" s="55">
        <v>105826880</v>
      </c>
      <c r="AF79" s="55"/>
      <c r="AG79" s="55">
        <f aca="true" t="shared" si="3" ref="AG79:AG88">+AE79+AC79</f>
        <v>101461339</v>
      </c>
      <c r="AH79" s="55">
        <f>+'St of Net Assets - GA'!W80-'St of Activities - GA Exp'!AG79</f>
        <v>0</v>
      </c>
    </row>
    <row r="80" spans="1:34" s="90" customFormat="1" ht="12">
      <c r="A80" s="54" t="s">
        <v>71</v>
      </c>
      <c r="B80" s="55"/>
      <c r="C80" s="55">
        <v>5592751</v>
      </c>
      <c r="D80" s="55"/>
      <c r="E80" s="55">
        <v>2788061</v>
      </c>
      <c r="F80" s="55"/>
      <c r="G80" s="55">
        <v>8046106</v>
      </c>
      <c r="H80" s="55"/>
      <c r="I80" s="55">
        <v>5656624</v>
      </c>
      <c r="J80" s="55"/>
      <c r="K80" s="55">
        <v>657182</v>
      </c>
      <c r="L80" s="55"/>
      <c r="M80" s="55">
        <v>21401432</v>
      </c>
      <c r="N80" s="55"/>
      <c r="O80" s="55">
        <v>847798</v>
      </c>
      <c r="P80" s="55"/>
      <c r="Q80" s="55">
        <v>0</v>
      </c>
      <c r="R80" s="55"/>
      <c r="S80" s="55">
        <v>1146819</v>
      </c>
      <c r="T80" s="55"/>
      <c r="U80" s="55">
        <v>0</v>
      </c>
      <c r="V80" s="55"/>
      <c r="W80" s="55">
        <v>525799</v>
      </c>
      <c r="X80" s="55"/>
      <c r="Y80" s="5">
        <v>0</v>
      </c>
      <c r="Z80" s="55"/>
      <c r="AA80" s="55">
        <f t="shared" si="1"/>
        <v>46662572</v>
      </c>
      <c r="AB80" s="55"/>
      <c r="AC80" s="55">
        <f>+'St of Activities - GA Rev'!X83-'St of Activities - GA Exp'!AA80</f>
        <v>519779</v>
      </c>
      <c r="AD80" s="55"/>
      <c r="AE80" s="55">
        <v>36149969</v>
      </c>
      <c r="AF80" s="55"/>
      <c r="AG80" s="55">
        <f t="shared" si="3"/>
        <v>36669748</v>
      </c>
      <c r="AH80" s="55">
        <f>+'St of Net Assets - GA'!W81-'St of Activities - GA Exp'!AG80</f>
        <v>0</v>
      </c>
    </row>
    <row r="81" spans="1:34" s="90" customFormat="1" ht="12" hidden="1">
      <c r="A81" s="54" t="s">
        <v>72</v>
      </c>
      <c r="B81" s="55"/>
      <c r="C81" s="55" t="s">
        <v>190</v>
      </c>
      <c r="D81" s="55"/>
      <c r="E81" s="55" t="s">
        <v>190</v>
      </c>
      <c r="F81" s="55"/>
      <c r="G81" s="55" t="s">
        <v>190</v>
      </c>
      <c r="H81" s="55"/>
      <c r="I81" s="55" t="s">
        <v>190</v>
      </c>
      <c r="J81" s="55"/>
      <c r="K81" s="55" t="s">
        <v>190</v>
      </c>
      <c r="L81" s="55"/>
      <c r="M81" s="55" t="s">
        <v>190</v>
      </c>
      <c r="N81" s="55"/>
      <c r="O81" s="55" t="s">
        <v>190</v>
      </c>
      <c r="P81" s="55"/>
      <c r="Q81" s="55" t="s">
        <v>190</v>
      </c>
      <c r="R81" s="55"/>
      <c r="S81" s="55" t="s">
        <v>190</v>
      </c>
      <c r="T81" s="55"/>
      <c r="U81" s="55" t="s">
        <v>190</v>
      </c>
      <c r="V81" s="55"/>
      <c r="W81" s="55" t="s">
        <v>190</v>
      </c>
      <c r="X81" s="55"/>
      <c r="Y81" s="5" t="e">
        <v>#VALUE!</v>
      </c>
      <c r="Z81" s="55"/>
      <c r="AA81" s="55" t="e">
        <f t="shared" si="1"/>
        <v>#VALUE!</v>
      </c>
      <c r="AB81" s="55"/>
      <c r="AC81" s="55" t="e">
        <f>+'St of Activities - GA Rev'!X84-'St of Activities - GA Exp'!AA81</f>
        <v>#VALUE!</v>
      </c>
      <c r="AD81" s="55"/>
      <c r="AE81" s="55" t="s">
        <v>190</v>
      </c>
      <c r="AF81" s="55"/>
      <c r="AG81" s="55" t="s">
        <v>190</v>
      </c>
      <c r="AH81" s="55" t="e">
        <f>+'St of Net Assets - GA'!W82-'St of Activities - GA Exp'!AG81</f>
        <v>#VALUE!</v>
      </c>
    </row>
    <row r="82" spans="1:34" s="90" customFormat="1" ht="12" hidden="1">
      <c r="A82" s="54" t="s">
        <v>73</v>
      </c>
      <c r="B82" s="55"/>
      <c r="C82" s="55" t="s">
        <v>190</v>
      </c>
      <c r="D82" s="55"/>
      <c r="E82" s="55" t="s">
        <v>190</v>
      </c>
      <c r="F82" s="55"/>
      <c r="G82" s="55" t="s">
        <v>190</v>
      </c>
      <c r="H82" s="55"/>
      <c r="I82" s="55" t="s">
        <v>190</v>
      </c>
      <c r="J82" s="55"/>
      <c r="K82" s="55" t="s">
        <v>190</v>
      </c>
      <c r="L82" s="55"/>
      <c r="M82" s="55" t="s">
        <v>190</v>
      </c>
      <c r="N82" s="55"/>
      <c r="O82" s="55" t="s">
        <v>190</v>
      </c>
      <c r="P82" s="55"/>
      <c r="Q82" s="55" t="s">
        <v>190</v>
      </c>
      <c r="R82" s="55"/>
      <c r="S82" s="55" t="s">
        <v>190</v>
      </c>
      <c r="T82" s="55"/>
      <c r="U82" s="55" t="s">
        <v>190</v>
      </c>
      <c r="V82" s="55"/>
      <c r="W82" s="55" t="s">
        <v>190</v>
      </c>
      <c r="X82" s="55"/>
      <c r="Y82" s="5" t="e">
        <v>#VALUE!</v>
      </c>
      <c r="Z82" s="55"/>
      <c r="AA82" s="55" t="e">
        <f t="shared" si="1"/>
        <v>#VALUE!</v>
      </c>
      <c r="AB82" s="55"/>
      <c r="AC82" s="55" t="e">
        <f>+'St of Activities - GA Rev'!X85-'St of Activities - GA Exp'!AA82</f>
        <v>#VALUE!</v>
      </c>
      <c r="AD82" s="55"/>
      <c r="AE82" s="55" t="s">
        <v>190</v>
      </c>
      <c r="AF82" s="55"/>
      <c r="AG82" s="55" t="s">
        <v>190</v>
      </c>
      <c r="AH82" s="55" t="e">
        <f>+'St of Net Assets - GA'!W83-'St of Activities - GA Exp'!AG82</f>
        <v>#VALUE!</v>
      </c>
    </row>
    <row r="83" spans="1:34" s="90" customFormat="1" ht="12" hidden="1">
      <c r="A83" s="54" t="s">
        <v>74</v>
      </c>
      <c r="B83" s="55"/>
      <c r="C83" s="55" t="s">
        <v>190</v>
      </c>
      <c r="D83" s="55"/>
      <c r="E83" s="55" t="s">
        <v>190</v>
      </c>
      <c r="F83" s="55"/>
      <c r="G83" s="55" t="s">
        <v>190</v>
      </c>
      <c r="H83" s="55"/>
      <c r="I83" s="55" t="s">
        <v>190</v>
      </c>
      <c r="J83" s="55"/>
      <c r="K83" s="55" t="s">
        <v>190</v>
      </c>
      <c r="L83" s="55"/>
      <c r="M83" s="55" t="s">
        <v>190</v>
      </c>
      <c r="N83" s="55"/>
      <c r="O83" s="55" t="s">
        <v>190</v>
      </c>
      <c r="P83" s="55"/>
      <c r="Q83" s="55" t="s">
        <v>190</v>
      </c>
      <c r="R83" s="55"/>
      <c r="S83" s="55" t="s">
        <v>190</v>
      </c>
      <c r="T83" s="55"/>
      <c r="U83" s="55" t="s">
        <v>190</v>
      </c>
      <c r="V83" s="55"/>
      <c r="W83" s="55" t="s">
        <v>190</v>
      </c>
      <c r="X83" s="55"/>
      <c r="Y83" s="5" t="e">
        <v>#VALUE!</v>
      </c>
      <c r="Z83" s="55"/>
      <c r="AA83" s="55" t="e">
        <f t="shared" si="1"/>
        <v>#VALUE!</v>
      </c>
      <c r="AB83" s="55"/>
      <c r="AC83" s="55" t="e">
        <f>+'St of Activities - GA Rev'!X86-'St of Activities - GA Exp'!AA83</f>
        <v>#VALUE!</v>
      </c>
      <c r="AD83" s="55"/>
      <c r="AE83" s="55" t="s">
        <v>190</v>
      </c>
      <c r="AF83" s="55"/>
      <c r="AG83" s="55" t="s">
        <v>190</v>
      </c>
      <c r="AH83" s="55" t="e">
        <f>+'St of Net Assets - GA'!W84-'St of Activities - GA Exp'!AG83</f>
        <v>#VALUE!</v>
      </c>
    </row>
    <row r="84" spans="1:34" s="90" customFormat="1" ht="12" hidden="1">
      <c r="A84" s="54" t="s">
        <v>75</v>
      </c>
      <c r="B84" s="55"/>
      <c r="C84" s="55" t="s">
        <v>190</v>
      </c>
      <c r="D84" s="55"/>
      <c r="E84" s="55" t="s">
        <v>190</v>
      </c>
      <c r="F84" s="55"/>
      <c r="G84" s="55" t="s">
        <v>190</v>
      </c>
      <c r="H84" s="55"/>
      <c r="I84" s="55" t="s">
        <v>190</v>
      </c>
      <c r="J84" s="55"/>
      <c r="K84" s="55" t="s">
        <v>190</v>
      </c>
      <c r="L84" s="55"/>
      <c r="M84" s="55" t="s">
        <v>190</v>
      </c>
      <c r="N84" s="55"/>
      <c r="O84" s="55" t="s">
        <v>190</v>
      </c>
      <c r="P84" s="55"/>
      <c r="Q84" s="55" t="s">
        <v>190</v>
      </c>
      <c r="R84" s="55"/>
      <c r="S84" s="55" t="s">
        <v>190</v>
      </c>
      <c r="T84" s="55"/>
      <c r="U84" s="55" t="s">
        <v>190</v>
      </c>
      <c r="V84" s="55"/>
      <c r="W84" s="55" t="s">
        <v>190</v>
      </c>
      <c r="X84" s="55"/>
      <c r="Y84" s="5" t="e">
        <v>#VALUE!</v>
      </c>
      <c r="Z84" s="55"/>
      <c r="AA84" s="55" t="e">
        <f t="shared" si="1"/>
        <v>#VALUE!</v>
      </c>
      <c r="AB84" s="55"/>
      <c r="AC84" s="55" t="e">
        <f>+'St of Activities - GA Rev'!X87-'St of Activities - GA Exp'!AA84</f>
        <v>#VALUE!</v>
      </c>
      <c r="AD84" s="55"/>
      <c r="AE84" s="55" t="s">
        <v>190</v>
      </c>
      <c r="AF84" s="55"/>
      <c r="AG84" s="55" t="s">
        <v>190</v>
      </c>
      <c r="AH84" s="55" t="e">
        <f>+'St of Net Assets - GA'!W85-'St of Activities - GA Exp'!AG84</f>
        <v>#VALUE!</v>
      </c>
    </row>
    <row r="85" spans="1:34" s="90" customFormat="1" ht="12">
      <c r="A85" s="54" t="s">
        <v>76</v>
      </c>
      <c r="B85" s="55"/>
      <c r="C85" s="55">
        <v>18381739</v>
      </c>
      <c r="D85" s="55"/>
      <c r="E85" s="55">
        <v>13262811</v>
      </c>
      <c r="F85" s="55"/>
      <c r="G85" s="55">
        <v>19766531</v>
      </c>
      <c r="H85" s="55"/>
      <c r="I85" s="55">
        <v>12994661</v>
      </c>
      <c r="J85" s="55"/>
      <c r="K85" s="55">
        <v>67800614</v>
      </c>
      <c r="L85" s="55"/>
      <c r="M85" s="55">
        <v>64844577</v>
      </c>
      <c r="N85" s="55"/>
      <c r="O85" s="55">
        <v>0</v>
      </c>
      <c r="P85" s="55"/>
      <c r="Q85" s="55">
        <v>29200</v>
      </c>
      <c r="R85" s="55"/>
      <c r="S85" s="55">
        <v>1677857</v>
      </c>
      <c r="T85" s="55"/>
      <c r="U85" s="55">
        <v>10185441</v>
      </c>
      <c r="V85" s="55"/>
      <c r="W85" s="55">
        <v>207494</v>
      </c>
      <c r="X85" s="55"/>
      <c r="Y85" s="5">
        <v>0</v>
      </c>
      <c r="Z85" s="55"/>
      <c r="AA85" s="55">
        <f t="shared" si="1"/>
        <v>209150925</v>
      </c>
      <c r="AB85" s="55"/>
      <c r="AC85" s="55">
        <f>+'St of Activities - GA Rev'!X88-'St of Activities - GA Exp'!AA85</f>
        <v>706075</v>
      </c>
      <c r="AD85" s="55"/>
      <c r="AE85" s="55">
        <v>159389838</v>
      </c>
      <c r="AF85" s="55"/>
      <c r="AG85" s="55">
        <f t="shared" si="3"/>
        <v>160095913</v>
      </c>
      <c r="AH85" s="55">
        <f>+'St of Net Assets - GA'!W86-'St of Activities - GA Exp'!AG85</f>
        <v>0</v>
      </c>
    </row>
    <row r="86" spans="1:34" s="90" customFormat="1" ht="12">
      <c r="A86" s="54" t="s">
        <v>77</v>
      </c>
      <c r="B86" s="55"/>
      <c r="C86" s="55">
        <v>31123445</v>
      </c>
      <c r="D86" s="55"/>
      <c r="E86" s="55">
        <v>28677882</v>
      </c>
      <c r="F86" s="55"/>
      <c r="G86" s="55">
        <v>57265018</v>
      </c>
      <c r="H86" s="55"/>
      <c r="I86" s="55">
        <v>16543844</v>
      </c>
      <c r="J86" s="55"/>
      <c r="K86" s="55">
        <v>108913426</v>
      </c>
      <c r="L86" s="55"/>
      <c r="M86" s="55">
        <v>120340054</v>
      </c>
      <c r="N86" s="55"/>
      <c r="O86" s="55">
        <v>5363942</v>
      </c>
      <c r="P86" s="55"/>
      <c r="Q86" s="55">
        <v>4385439</v>
      </c>
      <c r="R86" s="55"/>
      <c r="S86" s="55">
        <v>6266096</v>
      </c>
      <c r="T86" s="55"/>
      <c r="U86" s="55">
        <v>333022</v>
      </c>
      <c r="V86" s="55"/>
      <c r="W86" s="55">
        <v>3934615</v>
      </c>
      <c r="X86" s="55"/>
      <c r="Y86" s="5">
        <v>0</v>
      </c>
      <c r="Z86" s="55"/>
      <c r="AA86" s="55">
        <f t="shared" si="1"/>
        <v>383146783</v>
      </c>
      <c r="AB86" s="55"/>
      <c r="AC86" s="55">
        <f>+'St of Activities - GA Rev'!X89-'St of Activities - GA Exp'!AA86</f>
        <v>14752750</v>
      </c>
      <c r="AD86" s="55"/>
      <c r="AE86" s="55">
        <v>341032646</v>
      </c>
      <c r="AF86" s="55"/>
      <c r="AG86" s="55">
        <f t="shared" si="3"/>
        <v>355785396</v>
      </c>
      <c r="AH86" s="55">
        <f>+'St of Net Assets - GA'!W87-'St of Activities - GA Exp'!AG86</f>
        <v>0</v>
      </c>
    </row>
    <row r="87" spans="1:34" s="90" customFormat="1" ht="12">
      <c r="A87" s="54" t="s">
        <v>78</v>
      </c>
      <c r="B87" s="55"/>
      <c r="C87" s="55">
        <v>20001901</v>
      </c>
      <c r="D87" s="55"/>
      <c r="E87" s="55">
        <v>10586830</v>
      </c>
      <c r="F87" s="55"/>
      <c r="G87" s="55">
        <v>15053672</v>
      </c>
      <c r="H87" s="55"/>
      <c r="I87" s="55">
        <v>15007033</v>
      </c>
      <c r="J87" s="55"/>
      <c r="K87" s="55">
        <v>32047996</v>
      </c>
      <c r="L87" s="55"/>
      <c r="M87" s="55">
        <v>45193528</v>
      </c>
      <c r="N87" s="55"/>
      <c r="O87" s="55">
        <v>87852</v>
      </c>
      <c r="P87" s="55"/>
      <c r="Q87" s="55">
        <v>0</v>
      </c>
      <c r="R87" s="55"/>
      <c r="S87" s="55">
        <v>209635</v>
      </c>
      <c r="T87" s="55"/>
      <c r="U87" s="55">
        <v>3422037</v>
      </c>
      <c r="V87" s="55"/>
      <c r="W87" s="55">
        <v>2516570</v>
      </c>
      <c r="X87" s="55"/>
      <c r="Y87" s="5">
        <v>0</v>
      </c>
      <c r="Z87" s="55"/>
      <c r="AA87" s="55">
        <f t="shared" si="1"/>
        <v>144127054</v>
      </c>
      <c r="AB87" s="55"/>
      <c r="AC87" s="55">
        <f>+'St of Activities - GA Rev'!X90-'St of Activities - GA Exp'!AA87</f>
        <v>-4183233</v>
      </c>
      <c r="AD87" s="55"/>
      <c r="AE87" s="55">
        <v>104372722</v>
      </c>
      <c r="AF87" s="55"/>
      <c r="AG87" s="55">
        <f t="shared" si="3"/>
        <v>100189489</v>
      </c>
      <c r="AH87" s="55">
        <f>+'St of Net Assets - GA'!W88-'St of Activities - GA Exp'!AG87</f>
        <v>0</v>
      </c>
    </row>
    <row r="88" spans="1:34" s="90" customFormat="1" ht="12">
      <c r="A88" s="54" t="s">
        <v>79</v>
      </c>
      <c r="B88" s="55"/>
      <c r="C88" s="55">
        <v>7732675</v>
      </c>
      <c r="D88" s="55"/>
      <c r="E88" s="55">
        <v>3621093</v>
      </c>
      <c r="F88" s="55"/>
      <c r="G88" s="55">
        <v>7275708</v>
      </c>
      <c r="H88" s="55"/>
      <c r="I88" s="55">
        <v>7573815</v>
      </c>
      <c r="J88" s="55"/>
      <c r="K88" s="55">
        <v>7569889</v>
      </c>
      <c r="L88" s="55"/>
      <c r="M88" s="55">
        <v>14943366</v>
      </c>
      <c r="N88" s="55"/>
      <c r="O88" s="55">
        <v>0</v>
      </c>
      <c r="P88" s="55"/>
      <c r="Q88" s="55">
        <v>186159</v>
      </c>
      <c r="R88" s="55"/>
      <c r="S88" s="55">
        <v>405</v>
      </c>
      <c r="T88" s="55"/>
      <c r="U88" s="55">
        <v>1416722</v>
      </c>
      <c r="V88" s="55"/>
      <c r="W88" s="55">
        <v>11451</v>
      </c>
      <c r="X88" s="55"/>
      <c r="Y88" s="5">
        <v>0</v>
      </c>
      <c r="Z88" s="55"/>
      <c r="AA88" s="55">
        <f t="shared" si="1"/>
        <v>50331283</v>
      </c>
      <c r="AB88" s="55"/>
      <c r="AC88" s="55">
        <f>+'St of Activities - GA Rev'!X91-'St of Activities - GA Exp'!AA88</f>
        <v>-771229</v>
      </c>
      <c r="AD88" s="55"/>
      <c r="AE88" s="55">
        <v>84831093</v>
      </c>
      <c r="AF88" s="55"/>
      <c r="AG88" s="55">
        <f t="shared" si="3"/>
        <v>84059864</v>
      </c>
      <c r="AH88" s="55">
        <f>+'St of Net Assets - GA'!W89-'St of Activities - GA Exp'!AG88</f>
        <v>0</v>
      </c>
    </row>
    <row r="89" spans="1:34" s="90" customFormat="1" ht="12" hidden="1">
      <c r="A89" s="54" t="s">
        <v>80</v>
      </c>
      <c r="B89" s="55"/>
      <c r="C89" s="55" t="s">
        <v>190</v>
      </c>
      <c r="D89" s="55"/>
      <c r="E89" s="55" t="s">
        <v>190</v>
      </c>
      <c r="F89" s="55"/>
      <c r="G89" s="55" t="s">
        <v>190</v>
      </c>
      <c r="H89" s="55"/>
      <c r="I89" s="55" t="s">
        <v>190</v>
      </c>
      <c r="J89" s="55"/>
      <c r="K89" s="55" t="s">
        <v>190</v>
      </c>
      <c r="L89" s="55"/>
      <c r="M89" s="55" t="s">
        <v>190</v>
      </c>
      <c r="N89" s="55"/>
      <c r="O89" s="55" t="s">
        <v>190</v>
      </c>
      <c r="P89" s="55"/>
      <c r="Q89" s="55" t="s">
        <v>190</v>
      </c>
      <c r="R89" s="55"/>
      <c r="S89" s="55" t="s">
        <v>190</v>
      </c>
      <c r="T89" s="55"/>
      <c r="U89" s="55" t="s">
        <v>190</v>
      </c>
      <c r="V89" s="55"/>
      <c r="W89" s="55" t="s">
        <v>190</v>
      </c>
      <c r="X89" s="55"/>
      <c r="Y89" s="5" t="e">
        <v>#VALUE!</v>
      </c>
      <c r="Z89" s="55"/>
      <c r="AA89" s="55" t="e">
        <f t="shared" si="1"/>
        <v>#VALUE!</v>
      </c>
      <c r="AB89" s="55"/>
      <c r="AC89" s="55" t="e">
        <f>+'St of Activities - GA Rev'!X92-'St of Activities - GA Exp'!AA89</f>
        <v>#VALUE!</v>
      </c>
      <c r="AD89" s="55"/>
      <c r="AE89" s="55" t="s">
        <v>190</v>
      </c>
      <c r="AF89" s="55"/>
      <c r="AG89" s="55" t="s">
        <v>190</v>
      </c>
      <c r="AH89" s="55" t="e">
        <f>+'St of Net Assets - GA'!W90-'St of Activities - GA Exp'!AG89</f>
        <v>#VALUE!</v>
      </c>
    </row>
    <row r="90" spans="1:34" s="90" customFormat="1" ht="12" hidden="1">
      <c r="A90" s="54" t="s">
        <v>81</v>
      </c>
      <c r="B90" s="55"/>
      <c r="C90" s="55" t="s">
        <v>190</v>
      </c>
      <c r="D90" s="55"/>
      <c r="E90" s="55" t="s">
        <v>190</v>
      </c>
      <c r="F90" s="55"/>
      <c r="G90" s="55" t="s">
        <v>190</v>
      </c>
      <c r="H90" s="55"/>
      <c r="I90" s="55" t="s">
        <v>190</v>
      </c>
      <c r="J90" s="55"/>
      <c r="K90" s="55" t="s">
        <v>190</v>
      </c>
      <c r="L90" s="55"/>
      <c r="M90" s="55" t="s">
        <v>190</v>
      </c>
      <c r="N90" s="55"/>
      <c r="O90" s="55" t="s">
        <v>190</v>
      </c>
      <c r="P90" s="55"/>
      <c r="Q90" s="55" t="s">
        <v>190</v>
      </c>
      <c r="R90" s="55"/>
      <c r="S90" s="55" t="s">
        <v>190</v>
      </c>
      <c r="T90" s="55"/>
      <c r="U90" s="55" t="s">
        <v>190</v>
      </c>
      <c r="V90" s="55"/>
      <c r="W90" s="55" t="s">
        <v>190</v>
      </c>
      <c r="X90" s="55"/>
      <c r="Y90" s="5" t="e">
        <v>#VALUE!</v>
      </c>
      <c r="Z90" s="55"/>
      <c r="AA90" s="55" t="e">
        <f aca="true" t="shared" si="4" ref="AA90:AA96">SUM(C90:Y90)</f>
        <v>#VALUE!</v>
      </c>
      <c r="AB90" s="55"/>
      <c r="AC90" s="55" t="e">
        <f>+'St of Activities - GA Rev'!X93-'St of Activities - GA Exp'!AA90</f>
        <v>#VALUE!</v>
      </c>
      <c r="AD90" s="55"/>
      <c r="AE90" s="55" t="s">
        <v>190</v>
      </c>
      <c r="AF90" s="55"/>
      <c r="AG90" s="55" t="s">
        <v>190</v>
      </c>
      <c r="AH90" s="55" t="e">
        <f>+'St of Net Assets - GA'!W91-'St of Activities - GA Exp'!AG90</f>
        <v>#VALUE!</v>
      </c>
    </row>
    <row r="91" spans="1:34" s="90" customFormat="1" ht="12" hidden="1">
      <c r="A91" s="54" t="s">
        <v>82</v>
      </c>
      <c r="B91" s="55"/>
      <c r="C91" s="55" t="s">
        <v>190</v>
      </c>
      <c r="D91" s="55"/>
      <c r="E91" s="55" t="s">
        <v>190</v>
      </c>
      <c r="F91" s="55"/>
      <c r="G91" s="55" t="s">
        <v>190</v>
      </c>
      <c r="H91" s="55"/>
      <c r="I91" s="55" t="s">
        <v>190</v>
      </c>
      <c r="J91" s="55"/>
      <c r="K91" s="55" t="s">
        <v>190</v>
      </c>
      <c r="L91" s="55"/>
      <c r="M91" s="55" t="s">
        <v>190</v>
      </c>
      <c r="N91" s="55"/>
      <c r="O91" s="55" t="s">
        <v>190</v>
      </c>
      <c r="P91" s="55"/>
      <c r="Q91" s="55" t="s">
        <v>190</v>
      </c>
      <c r="R91" s="55"/>
      <c r="S91" s="55" t="s">
        <v>190</v>
      </c>
      <c r="T91" s="55"/>
      <c r="U91" s="55" t="s">
        <v>190</v>
      </c>
      <c r="V91" s="55"/>
      <c r="W91" s="55" t="s">
        <v>190</v>
      </c>
      <c r="X91" s="55"/>
      <c r="Y91" s="5" t="e">
        <v>#VALUE!</v>
      </c>
      <c r="Z91" s="55"/>
      <c r="AA91" s="55" t="e">
        <f t="shared" si="4"/>
        <v>#VALUE!</v>
      </c>
      <c r="AB91" s="55"/>
      <c r="AC91" s="55" t="e">
        <f>+'St of Activities - GA Rev'!X94-'St of Activities - GA Exp'!AA91</f>
        <v>#VALUE!</v>
      </c>
      <c r="AD91" s="55"/>
      <c r="AE91" s="55" t="s">
        <v>190</v>
      </c>
      <c r="AF91" s="55"/>
      <c r="AG91" s="55" t="s">
        <v>190</v>
      </c>
      <c r="AH91" s="55" t="e">
        <f>+'St of Net Assets - GA'!W92-'St of Activities - GA Exp'!AG91</f>
        <v>#VALUE!</v>
      </c>
    </row>
    <row r="92" spans="1:34" s="90" customFormat="1" ht="12" hidden="1">
      <c r="A92" s="54" t="s">
        <v>83</v>
      </c>
      <c r="B92" s="55"/>
      <c r="C92" s="55" t="s">
        <v>190</v>
      </c>
      <c r="D92" s="55"/>
      <c r="E92" s="55" t="s">
        <v>190</v>
      </c>
      <c r="F92" s="55"/>
      <c r="G92" s="55" t="s">
        <v>190</v>
      </c>
      <c r="H92" s="55"/>
      <c r="I92" s="55" t="s">
        <v>190</v>
      </c>
      <c r="J92" s="55"/>
      <c r="K92" s="55" t="s">
        <v>190</v>
      </c>
      <c r="L92" s="55"/>
      <c r="M92" s="55" t="s">
        <v>190</v>
      </c>
      <c r="N92" s="55"/>
      <c r="O92" s="55" t="s">
        <v>190</v>
      </c>
      <c r="P92" s="55"/>
      <c r="Q92" s="55" t="s">
        <v>190</v>
      </c>
      <c r="R92" s="55"/>
      <c r="S92" s="55" t="s">
        <v>190</v>
      </c>
      <c r="T92" s="55"/>
      <c r="U92" s="55" t="s">
        <v>190</v>
      </c>
      <c r="V92" s="55"/>
      <c r="W92" s="55" t="s">
        <v>190</v>
      </c>
      <c r="X92" s="55"/>
      <c r="Y92" s="5" t="e">
        <v>#VALUE!</v>
      </c>
      <c r="Z92" s="55"/>
      <c r="AA92" s="55" t="e">
        <f t="shared" si="4"/>
        <v>#VALUE!</v>
      </c>
      <c r="AB92" s="55"/>
      <c r="AC92" s="55" t="e">
        <f>+'St of Activities - GA Rev'!X95-'St of Activities - GA Exp'!AA92</f>
        <v>#VALUE!</v>
      </c>
      <c r="AD92" s="55"/>
      <c r="AE92" s="55" t="s">
        <v>190</v>
      </c>
      <c r="AF92" s="55"/>
      <c r="AG92" s="55" t="s">
        <v>190</v>
      </c>
      <c r="AH92" s="55" t="e">
        <f>+'St of Net Assets - GA'!W93-'St of Activities - GA Exp'!AG92</f>
        <v>#VALUE!</v>
      </c>
    </row>
    <row r="93" spans="1:34" s="90" customFormat="1" ht="12" hidden="1">
      <c r="A93" s="54" t="s">
        <v>84</v>
      </c>
      <c r="B93" s="55"/>
      <c r="C93" s="55" t="s">
        <v>190</v>
      </c>
      <c r="D93" s="55"/>
      <c r="E93" s="55" t="s">
        <v>190</v>
      </c>
      <c r="F93" s="55"/>
      <c r="G93" s="55" t="s">
        <v>190</v>
      </c>
      <c r="H93" s="55"/>
      <c r="I93" s="55" t="s">
        <v>190</v>
      </c>
      <c r="J93" s="55"/>
      <c r="K93" s="55" t="s">
        <v>190</v>
      </c>
      <c r="L93" s="55"/>
      <c r="M93" s="55" t="s">
        <v>190</v>
      </c>
      <c r="N93" s="55"/>
      <c r="O93" s="55" t="s">
        <v>190</v>
      </c>
      <c r="P93" s="55"/>
      <c r="Q93" s="55" t="s">
        <v>190</v>
      </c>
      <c r="R93" s="55"/>
      <c r="S93" s="55" t="s">
        <v>190</v>
      </c>
      <c r="T93" s="55"/>
      <c r="U93" s="55" t="s">
        <v>190</v>
      </c>
      <c r="V93" s="55"/>
      <c r="W93" s="55" t="s">
        <v>190</v>
      </c>
      <c r="X93" s="55"/>
      <c r="Y93" s="5" t="e">
        <v>#VALUE!</v>
      </c>
      <c r="Z93" s="55"/>
      <c r="AA93" s="55" t="e">
        <f t="shared" si="4"/>
        <v>#VALUE!</v>
      </c>
      <c r="AB93" s="55"/>
      <c r="AC93" s="55" t="e">
        <f>+'St of Activities - GA Rev'!X96-'St of Activities - GA Exp'!AA93</f>
        <v>#VALUE!</v>
      </c>
      <c r="AD93" s="55"/>
      <c r="AE93" s="55" t="s">
        <v>190</v>
      </c>
      <c r="AF93" s="55"/>
      <c r="AG93" s="55" t="s">
        <v>190</v>
      </c>
      <c r="AH93" s="55" t="e">
        <f>+'St of Net Assets - GA'!W94-'St of Activities - GA Exp'!AG93</f>
        <v>#VALUE!</v>
      </c>
    </row>
    <row r="94" spans="1:34" s="90" customFormat="1" ht="12">
      <c r="A94" s="54" t="s">
        <v>85</v>
      </c>
      <c r="B94" s="55"/>
      <c r="C94" s="55">
        <v>8658423</v>
      </c>
      <c r="D94" s="55"/>
      <c r="E94" s="55">
        <v>4043692</v>
      </c>
      <c r="F94" s="55"/>
      <c r="G94" s="55">
        <v>8542710</v>
      </c>
      <c r="H94" s="55"/>
      <c r="I94" s="55">
        <v>6765212</v>
      </c>
      <c r="J94" s="55"/>
      <c r="K94" s="55">
        <v>408979</v>
      </c>
      <c r="L94" s="55"/>
      <c r="M94" s="55">
        <v>30091211</v>
      </c>
      <c r="N94" s="55"/>
      <c r="O94" s="55">
        <v>597357</v>
      </c>
      <c r="P94" s="55"/>
      <c r="Q94" s="55">
        <v>30000</v>
      </c>
      <c r="R94" s="55"/>
      <c r="S94" s="55">
        <f>215062+934385</f>
        <v>1149447</v>
      </c>
      <c r="T94" s="55"/>
      <c r="U94" s="55">
        <v>0</v>
      </c>
      <c r="V94" s="55"/>
      <c r="W94" s="55">
        <v>471978</v>
      </c>
      <c r="X94" s="55"/>
      <c r="Y94" s="5">
        <v>130000</v>
      </c>
      <c r="Z94" s="55"/>
      <c r="AA94" s="55">
        <f t="shared" si="4"/>
        <v>60889009</v>
      </c>
      <c r="AB94" s="55"/>
      <c r="AC94" s="55">
        <f>+'St of Activities - GA Rev'!X97-'St of Activities - GA Exp'!AA94</f>
        <v>175121</v>
      </c>
      <c r="AD94" s="55"/>
      <c r="AE94" s="55">
        <v>91006334</v>
      </c>
      <c r="AF94" s="55"/>
      <c r="AG94" s="55">
        <f>+AE94+AC94</f>
        <v>91181455</v>
      </c>
      <c r="AH94" s="55">
        <f>+'St of Net Assets - GA'!W95-'St of Activities - GA Exp'!AG94</f>
        <v>0</v>
      </c>
    </row>
    <row r="95" spans="1:34" s="90" customFormat="1" ht="12" hidden="1">
      <c r="A95" s="54" t="s">
        <v>184</v>
      </c>
      <c r="B95" s="55"/>
      <c r="C95" s="55" t="s">
        <v>190</v>
      </c>
      <c r="D95" s="55"/>
      <c r="E95" s="55" t="s">
        <v>190</v>
      </c>
      <c r="F95" s="55"/>
      <c r="G95" s="55" t="s">
        <v>190</v>
      </c>
      <c r="H95" s="55"/>
      <c r="I95" s="55" t="s">
        <v>190</v>
      </c>
      <c r="J95" s="55"/>
      <c r="K95" s="55" t="s">
        <v>190</v>
      </c>
      <c r="L95" s="55"/>
      <c r="M95" s="55" t="s">
        <v>190</v>
      </c>
      <c r="N95" s="55"/>
      <c r="O95" s="55" t="s">
        <v>190</v>
      </c>
      <c r="P95" s="55"/>
      <c r="Q95" s="55" t="s">
        <v>190</v>
      </c>
      <c r="R95" s="55"/>
      <c r="S95" s="55" t="s">
        <v>190</v>
      </c>
      <c r="T95" s="55"/>
      <c r="U95" s="55" t="s">
        <v>190</v>
      </c>
      <c r="V95" s="55"/>
      <c r="W95" s="55" t="s">
        <v>190</v>
      </c>
      <c r="X95" s="55"/>
      <c r="Y95" s="5" t="e">
        <v>#VALUE!</v>
      </c>
      <c r="Z95" s="55"/>
      <c r="AA95" s="55" t="e">
        <f t="shared" si="4"/>
        <v>#VALUE!</v>
      </c>
      <c r="AB95" s="55"/>
      <c r="AC95" s="55" t="e">
        <f>+'St of Activities - GA Rev'!X98-'St of Activities - GA Exp'!AA95</f>
        <v>#VALUE!</v>
      </c>
      <c r="AD95" s="55"/>
      <c r="AE95" s="55" t="s">
        <v>190</v>
      </c>
      <c r="AF95" s="55"/>
      <c r="AG95" s="55" t="s">
        <v>190</v>
      </c>
      <c r="AH95" s="55" t="e">
        <f>+'St of Net Assets - GA'!W96-'St of Activities - GA Exp'!AG95</f>
        <v>#VALUE!</v>
      </c>
    </row>
    <row r="96" spans="1:34" s="90" customFormat="1" ht="12">
      <c r="A96" s="54" t="s">
        <v>86</v>
      </c>
      <c r="B96" s="55"/>
      <c r="C96" s="55">
        <v>15708389</v>
      </c>
      <c r="D96" s="55"/>
      <c r="E96" s="55">
        <v>6171278</v>
      </c>
      <c r="F96" s="55"/>
      <c r="G96" s="55">
        <v>6767782</v>
      </c>
      <c r="H96" s="55"/>
      <c r="I96" s="55">
        <v>4665832</v>
      </c>
      <c r="J96" s="55"/>
      <c r="K96" s="55">
        <f>13584458+893112</f>
        <v>14477570</v>
      </c>
      <c r="L96" s="55"/>
      <c r="M96" s="55">
        <f>9735187+2160792+19254795+2902627</f>
        <v>34053401</v>
      </c>
      <c r="N96" s="55"/>
      <c r="O96" s="55">
        <v>1028670</v>
      </c>
      <c r="P96" s="55"/>
      <c r="Q96" s="55">
        <v>271620</v>
      </c>
      <c r="R96" s="55"/>
      <c r="S96" s="55">
        <v>1198781</v>
      </c>
      <c r="T96" s="55"/>
      <c r="U96" s="55">
        <v>433421</v>
      </c>
      <c r="V96" s="55"/>
      <c r="W96" s="55">
        <v>964179</v>
      </c>
      <c r="X96" s="55"/>
      <c r="Y96" s="5">
        <v>264718</v>
      </c>
      <c r="Z96" s="55"/>
      <c r="AA96" s="55">
        <f t="shared" si="4"/>
        <v>86005641</v>
      </c>
      <c r="AB96" s="55"/>
      <c r="AC96" s="55">
        <f>+'St of Activities - GA Rev'!X99-'St of Activities - GA Exp'!AA96</f>
        <v>10562418</v>
      </c>
      <c r="AD96" s="55"/>
      <c r="AE96" s="55">
        <v>83477065</v>
      </c>
      <c r="AF96" s="55"/>
      <c r="AG96" s="55">
        <f>+AE96+AC96</f>
        <v>94039483</v>
      </c>
      <c r="AH96" s="55">
        <f>+'St of Net Assets - GA'!W97-'St of Activities - GA Exp'!AG96</f>
        <v>0</v>
      </c>
    </row>
    <row r="97" spans="1:34" ht="12" hidden="1">
      <c r="A97" s="13" t="s">
        <v>185</v>
      </c>
      <c r="B97" s="5"/>
      <c r="C97" s="5" t="s">
        <v>190</v>
      </c>
      <c r="D97" s="5"/>
      <c r="E97" s="5" t="s">
        <v>190</v>
      </c>
      <c r="F97" s="5"/>
      <c r="G97" s="5" t="s">
        <v>190</v>
      </c>
      <c r="H97" s="5"/>
      <c r="I97" s="5" t="s">
        <v>190</v>
      </c>
      <c r="J97" s="5"/>
      <c r="K97" s="5" t="s">
        <v>190</v>
      </c>
      <c r="L97" s="5"/>
      <c r="M97" s="5" t="s">
        <v>190</v>
      </c>
      <c r="N97" s="5"/>
      <c r="O97" s="5" t="s">
        <v>190</v>
      </c>
      <c r="P97" s="5"/>
      <c r="Q97" s="5" t="s">
        <v>190</v>
      </c>
      <c r="R97" s="5"/>
      <c r="S97" s="5" t="s">
        <v>190</v>
      </c>
      <c r="T97" s="5"/>
      <c r="U97" s="5" t="s">
        <v>190</v>
      </c>
      <c r="V97" s="5"/>
      <c r="W97" s="5" t="s">
        <v>190</v>
      </c>
      <c r="X97" s="5"/>
      <c r="Y97" s="5"/>
      <c r="Z97" s="5"/>
      <c r="AA97" s="5" t="s">
        <v>190</v>
      </c>
      <c r="AB97" s="5"/>
      <c r="AC97" s="5" t="e">
        <f>+'St of Activities - GA Rev'!X100-'St of Activities - GA Exp'!AA97</f>
        <v>#VALUE!</v>
      </c>
      <c r="AD97" s="5"/>
      <c r="AE97" s="5" t="s">
        <v>190</v>
      </c>
      <c r="AF97" s="5"/>
      <c r="AG97" s="5" t="s">
        <v>190</v>
      </c>
      <c r="AH97" s="5" t="e">
        <f>+'St of Net Assets - GA'!W98-'St of Activities - GA Exp'!AG97</f>
        <v>#VALUE!</v>
      </c>
    </row>
    <row r="98" spans="1:34" ht="12">
      <c r="A98" s="1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">
      <c r="A99" s="1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2:34" ht="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2:34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2:34" ht="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2:33" ht="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ht="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ht="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ht="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ht="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</sheetData>
  <mergeCells count="2">
    <mergeCell ref="C6:Y6"/>
    <mergeCell ref="A1:H1"/>
  </mergeCells>
  <printOptions/>
  <pageMargins left="1" right="1" top="0.5" bottom="0.25" header="0" footer="0.25"/>
  <pageSetup firstPageNumber="8" useFirstPageNumber="1" horizontalDpi="600" verticalDpi="600" orientation="portrait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>
      <selection activeCell="F6" sqref="F6"/>
    </sheetView>
  </sheetViews>
  <sheetFormatPr defaultColWidth="9.140625" defaultRowHeight="12.75"/>
  <cols>
    <col min="1" max="1" width="11.7109375" style="2" customWidth="1"/>
    <col min="2" max="2" width="1.7109375" style="2" customWidth="1"/>
    <col min="3" max="3" width="11.7109375" style="5" customWidth="1"/>
    <col min="4" max="4" width="1.7109375" style="5" customWidth="1"/>
    <col min="5" max="5" width="11.7109375" style="5" customWidth="1"/>
    <col min="6" max="6" width="1.7109375" style="5" customWidth="1"/>
    <col min="7" max="7" width="11.7109375" style="5" customWidth="1"/>
    <col min="8" max="8" width="1.7109375" style="5" customWidth="1"/>
    <col min="9" max="9" width="11.7109375" style="5" customWidth="1"/>
    <col min="10" max="10" width="1.7109375" style="5" customWidth="1"/>
    <col min="11" max="11" width="11.7109375" style="5" customWidth="1"/>
    <col min="12" max="12" width="1.7109375" style="5" customWidth="1"/>
    <col min="13" max="13" width="11.7109375" style="5" customWidth="1"/>
    <col min="14" max="14" width="1.7109375" style="5" customWidth="1"/>
    <col min="15" max="15" width="11.7109375" style="5" customWidth="1"/>
    <col min="16" max="16" width="9.28125" style="2" bestFit="1" customWidth="1"/>
    <col min="17" max="17" width="12.7109375" style="2" hidden="1" customWidth="1"/>
    <col min="18" max="18" width="11.7109375" style="2" customWidth="1"/>
    <col min="19" max="19" width="9.140625" style="2" customWidth="1"/>
    <col min="20" max="20" width="11.7109375" style="2" customWidth="1"/>
    <col min="21" max="16384" width="9.140625" style="2" customWidth="1"/>
  </cols>
  <sheetData>
    <row r="1" spans="1:16" ht="12">
      <c r="A1" s="6" t="s">
        <v>214</v>
      </c>
      <c r="B1" s="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6"/>
    </row>
    <row r="2" spans="1:16" ht="12">
      <c r="A2" s="6" t="s">
        <v>211</v>
      </c>
      <c r="B2" s="6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6"/>
    </row>
    <row r="3" spans="1:16" ht="12">
      <c r="A3" s="1" t="s">
        <v>197</v>
      </c>
      <c r="B3" s="3"/>
      <c r="C3" s="32"/>
      <c r="D3" s="32"/>
      <c r="E3" s="32"/>
      <c r="F3" s="32"/>
      <c r="G3" s="32"/>
      <c r="H3" s="32"/>
      <c r="I3" s="32"/>
      <c r="J3" s="32"/>
      <c r="P3" s="8"/>
    </row>
    <row r="5" spans="1:16" ht="12">
      <c r="A5" s="2" t="s">
        <v>246</v>
      </c>
      <c r="B5" s="3"/>
      <c r="C5" s="32"/>
      <c r="D5" s="32"/>
      <c r="E5" s="32"/>
      <c r="F5" s="32"/>
      <c r="G5" s="32"/>
      <c r="H5" s="32"/>
      <c r="I5" s="32"/>
      <c r="J5" s="32"/>
      <c r="P5" s="8"/>
    </row>
    <row r="6" spans="1:16" ht="12">
      <c r="A6" s="1"/>
      <c r="B6" s="3"/>
      <c r="C6" s="32"/>
      <c r="D6" s="32"/>
      <c r="E6" s="32"/>
      <c r="F6" s="32"/>
      <c r="G6" s="32"/>
      <c r="H6" s="32"/>
      <c r="I6" s="32"/>
      <c r="J6" s="32"/>
      <c r="L6" s="32"/>
      <c r="N6" s="32"/>
      <c r="O6" s="32" t="s">
        <v>3</v>
      </c>
      <c r="P6" s="8"/>
    </row>
    <row r="7" spans="1:16" ht="12">
      <c r="A7" s="3"/>
      <c r="B7" s="3"/>
      <c r="C7" s="32" t="s">
        <v>120</v>
      </c>
      <c r="D7" s="32"/>
      <c r="E7" s="32" t="s">
        <v>3</v>
      </c>
      <c r="F7" s="32"/>
      <c r="G7" s="32" t="s">
        <v>121</v>
      </c>
      <c r="H7" s="32"/>
      <c r="I7" s="32" t="s">
        <v>3</v>
      </c>
      <c r="J7" s="32"/>
      <c r="K7" s="32" t="s">
        <v>119</v>
      </c>
      <c r="L7" s="32"/>
      <c r="M7" s="32" t="s">
        <v>245</v>
      </c>
      <c r="N7" s="32"/>
      <c r="O7" s="32" t="s">
        <v>122</v>
      </c>
      <c r="P7" s="8"/>
    </row>
    <row r="8" spans="1:15" s="8" customFormat="1" ht="12">
      <c r="A8" s="53" t="s">
        <v>4</v>
      </c>
      <c r="B8" s="47"/>
      <c r="C8" s="39" t="s">
        <v>123</v>
      </c>
      <c r="D8" s="52"/>
      <c r="E8" s="39" t="s">
        <v>117</v>
      </c>
      <c r="F8" s="52"/>
      <c r="G8" s="39" t="s">
        <v>10</v>
      </c>
      <c r="H8" s="52"/>
      <c r="I8" s="39" t="s">
        <v>124</v>
      </c>
      <c r="J8" s="52"/>
      <c r="K8" s="39" t="s">
        <v>125</v>
      </c>
      <c r="L8" s="52"/>
      <c r="M8" s="39" t="s">
        <v>125</v>
      </c>
      <c r="N8" s="52"/>
      <c r="O8" s="39" t="s">
        <v>118</v>
      </c>
    </row>
    <row r="9" spans="1:16" ht="12">
      <c r="A9" s="47"/>
      <c r="B9" s="47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8"/>
    </row>
    <row r="10" spans="1:16" ht="12" hidden="1">
      <c r="A10" s="13" t="s">
        <v>12</v>
      </c>
      <c r="B10" s="13"/>
      <c r="C10" s="44">
        <v>0</v>
      </c>
      <c r="D10" s="44"/>
      <c r="E10" s="44">
        <v>0</v>
      </c>
      <c r="F10" s="44"/>
      <c r="G10" s="44">
        <v>0</v>
      </c>
      <c r="H10" s="44"/>
      <c r="I10" s="44">
        <v>0</v>
      </c>
      <c r="J10" s="44"/>
      <c r="K10" s="44">
        <v>0</v>
      </c>
      <c r="L10" s="44"/>
      <c r="M10" s="38">
        <v>0</v>
      </c>
      <c r="N10" s="38"/>
      <c r="O10" s="38">
        <f aca="true" t="shared" si="0" ref="O10:O73">+M10+K10</f>
        <v>0</v>
      </c>
      <c r="P10" s="10"/>
    </row>
    <row r="11" spans="1:17" ht="12">
      <c r="A11" s="13" t="s">
        <v>13</v>
      </c>
      <c r="B11" s="13"/>
      <c r="C11" s="74">
        <f>5534136+20766</f>
        <v>5554902</v>
      </c>
      <c r="D11" s="74"/>
      <c r="E11" s="74">
        <v>12121623</v>
      </c>
      <c r="F11" s="74"/>
      <c r="G11" s="74">
        <v>3553093</v>
      </c>
      <c r="H11" s="74"/>
      <c r="I11" s="74">
        <v>6747112</v>
      </c>
      <c r="J11" s="74"/>
      <c r="K11" s="74">
        <f>183255+291885+566756+270000</f>
        <v>1311896</v>
      </c>
      <c r="L11" s="74"/>
      <c r="M11" s="74">
        <v>4062615</v>
      </c>
      <c r="N11" s="74"/>
      <c r="O11" s="74">
        <f t="shared" si="0"/>
        <v>5374511</v>
      </c>
      <c r="P11" s="10"/>
      <c r="Q11" s="5">
        <f>+E11-I11-O11</f>
        <v>0</v>
      </c>
    </row>
    <row r="12" spans="1:17" ht="12">
      <c r="A12" s="13" t="s">
        <v>14</v>
      </c>
      <c r="B12" s="13"/>
      <c r="C12" s="38">
        <f>4374182+4460</f>
        <v>4378642</v>
      </c>
      <c r="D12" s="38"/>
      <c r="E12" s="38">
        <v>8429780</v>
      </c>
      <c r="F12" s="38"/>
      <c r="G12" s="38">
        <v>3384945</v>
      </c>
      <c r="H12" s="38"/>
      <c r="I12" s="38">
        <v>3634458</v>
      </c>
      <c r="J12" s="38"/>
      <c r="K12" s="38">
        <f>34700+290590</f>
        <v>325290</v>
      </c>
      <c r="L12" s="38"/>
      <c r="M12" s="38">
        <v>4470032</v>
      </c>
      <c r="N12" s="38"/>
      <c r="O12" s="38">
        <f t="shared" si="0"/>
        <v>4795322</v>
      </c>
      <c r="P12" s="10"/>
      <c r="Q12" s="5">
        <f aca="true" t="shared" si="1" ref="Q12:Q74">+E12-I12-O12</f>
        <v>0</v>
      </c>
    </row>
    <row r="13" spans="1:17" ht="12">
      <c r="A13" s="13" t="s">
        <v>15</v>
      </c>
      <c r="B13" s="13"/>
      <c r="C13" s="38">
        <f>4560883+3250</f>
        <v>4564133</v>
      </c>
      <c r="D13" s="38"/>
      <c r="E13" s="38">
        <v>9482292</v>
      </c>
      <c r="F13" s="38"/>
      <c r="G13" s="38">
        <v>3765083</v>
      </c>
      <c r="H13" s="38"/>
      <c r="I13" s="38">
        <v>4897569</v>
      </c>
      <c r="J13" s="38"/>
      <c r="K13" s="38">
        <f>590920+44227+679+90000</f>
        <v>725826</v>
      </c>
      <c r="L13" s="38"/>
      <c r="M13" s="38">
        <v>3858897</v>
      </c>
      <c r="N13" s="38"/>
      <c r="O13" s="38">
        <f t="shared" si="0"/>
        <v>4584723</v>
      </c>
      <c r="P13" s="10"/>
      <c r="Q13" s="5">
        <f t="shared" si="1"/>
        <v>0</v>
      </c>
    </row>
    <row r="14" spans="1:17" ht="12">
      <c r="A14" s="13" t="s">
        <v>16</v>
      </c>
      <c r="B14" s="13"/>
      <c r="C14" s="38">
        <f>1315636+63</f>
        <v>1315699</v>
      </c>
      <c r="D14" s="38"/>
      <c r="E14" s="38">
        <v>4547626</v>
      </c>
      <c r="F14" s="38"/>
      <c r="G14" s="38">
        <v>1883905</v>
      </c>
      <c r="H14" s="38"/>
      <c r="I14" s="38">
        <v>2480988</v>
      </c>
      <c r="J14" s="38"/>
      <c r="K14" s="38">
        <f>20581+11304</f>
        <v>31885</v>
      </c>
      <c r="L14" s="38"/>
      <c r="M14" s="38">
        <v>2034753</v>
      </c>
      <c r="N14" s="38"/>
      <c r="O14" s="38">
        <f t="shared" si="0"/>
        <v>2066638</v>
      </c>
      <c r="P14" s="10"/>
      <c r="Q14" s="5">
        <f t="shared" si="1"/>
        <v>0</v>
      </c>
    </row>
    <row r="15" spans="1:17" ht="12">
      <c r="A15" s="13" t="s">
        <v>17</v>
      </c>
      <c r="B15" s="13"/>
      <c r="C15" s="38">
        <v>3871711</v>
      </c>
      <c r="D15" s="38"/>
      <c r="E15" s="38">
        <v>6546268</v>
      </c>
      <c r="F15" s="38"/>
      <c r="G15" s="38">
        <v>1755285</v>
      </c>
      <c r="H15" s="38"/>
      <c r="I15" s="38">
        <v>2169283</v>
      </c>
      <c r="J15" s="38"/>
      <c r="K15" s="38">
        <f>36131+53686+19953</f>
        <v>109770</v>
      </c>
      <c r="L15" s="38"/>
      <c r="M15" s="38">
        <v>4267215</v>
      </c>
      <c r="N15" s="38"/>
      <c r="O15" s="38">
        <f t="shared" si="0"/>
        <v>4376985</v>
      </c>
      <c r="P15" s="10"/>
      <c r="Q15" s="5">
        <f t="shared" si="1"/>
        <v>0</v>
      </c>
    </row>
    <row r="16" spans="1:17" ht="12">
      <c r="A16" s="13" t="s">
        <v>18</v>
      </c>
      <c r="B16" s="13"/>
      <c r="C16" s="5">
        <f>5534232+2590</f>
        <v>5536822</v>
      </c>
      <c r="E16" s="5">
        <v>10636188</v>
      </c>
      <c r="G16" s="5">
        <v>2474286</v>
      </c>
      <c r="I16" s="5">
        <v>2774412</v>
      </c>
      <c r="K16" s="5">
        <f>2040151+53833+130956</f>
        <v>2224940</v>
      </c>
      <c r="M16" s="5">
        <f>1000000+4636836</f>
        <v>5636836</v>
      </c>
      <c r="O16" s="38">
        <f t="shared" si="0"/>
        <v>7861776</v>
      </c>
      <c r="Q16" s="5">
        <f t="shared" si="1"/>
        <v>0</v>
      </c>
    </row>
    <row r="17" spans="1:17" ht="12">
      <c r="A17" s="13" t="s">
        <v>135</v>
      </c>
      <c r="B17" s="13"/>
      <c r="C17" s="5">
        <f>2548901+28685</f>
        <v>2577586</v>
      </c>
      <c r="E17" s="5">
        <v>5363642</v>
      </c>
      <c r="G17" s="5">
        <v>2300932</v>
      </c>
      <c r="I17" s="5">
        <v>2566280</v>
      </c>
      <c r="K17" s="5">
        <f>133861+8154+192106</f>
        <v>334121</v>
      </c>
      <c r="M17" s="5">
        <f>2463241</f>
        <v>2463241</v>
      </c>
      <c r="O17" s="38">
        <f t="shared" si="0"/>
        <v>2797362</v>
      </c>
      <c r="Q17" s="5">
        <f t="shared" si="1"/>
        <v>0</v>
      </c>
    </row>
    <row r="18" spans="1:17" ht="12">
      <c r="A18" s="13" t="s">
        <v>188</v>
      </c>
      <c r="B18" s="13"/>
      <c r="C18" s="5">
        <f>12224669+35+2691699</f>
        <v>14916403</v>
      </c>
      <c r="E18" s="5">
        <f>35623522</f>
        <v>35623522</v>
      </c>
      <c r="G18" s="5">
        <v>16138400</v>
      </c>
      <c r="I18" s="5">
        <v>20348856</v>
      </c>
      <c r="K18" s="5">
        <f>242417+70000+2691669+1005077+30</f>
        <v>4009193</v>
      </c>
      <c r="M18" s="5">
        <v>11265473</v>
      </c>
      <c r="O18" s="38">
        <f t="shared" si="0"/>
        <v>15274666</v>
      </c>
      <c r="Q18" s="5">
        <f t="shared" si="1"/>
        <v>0</v>
      </c>
    </row>
    <row r="19" spans="1:17" ht="12">
      <c r="A19" s="13" t="s">
        <v>20</v>
      </c>
      <c r="B19" s="13"/>
      <c r="C19" s="5">
        <f>540858+70959</f>
        <v>611817</v>
      </c>
      <c r="E19" s="5">
        <v>2751719</v>
      </c>
      <c r="G19" s="5">
        <v>1579528</v>
      </c>
      <c r="I19" s="5">
        <v>1822246</v>
      </c>
      <c r="K19" s="5">
        <f>309815+47477+6000+51023</f>
        <v>414315</v>
      </c>
      <c r="M19" s="5">
        <v>515158</v>
      </c>
      <c r="O19" s="38">
        <f t="shared" si="0"/>
        <v>929473</v>
      </c>
      <c r="Q19" s="5">
        <f t="shared" si="1"/>
        <v>0</v>
      </c>
    </row>
    <row r="20" spans="1:17" ht="12" hidden="1">
      <c r="A20" s="13" t="s">
        <v>176</v>
      </c>
      <c r="B20" s="13"/>
      <c r="C20" s="5">
        <v>1022022</v>
      </c>
      <c r="E20" s="5">
        <v>0</v>
      </c>
      <c r="G20" s="5">
        <v>0</v>
      </c>
      <c r="I20" s="5">
        <v>0</v>
      </c>
      <c r="K20" s="5">
        <v>0</v>
      </c>
      <c r="M20" s="5">
        <v>0</v>
      </c>
      <c r="O20" s="38">
        <f>+M20+K20</f>
        <v>0</v>
      </c>
      <c r="Q20" s="5">
        <f t="shared" si="1"/>
        <v>0</v>
      </c>
    </row>
    <row r="21" spans="1:17" ht="12">
      <c r="A21" s="13" t="s">
        <v>21</v>
      </c>
      <c r="B21" s="13"/>
      <c r="C21" s="5">
        <v>9214842</v>
      </c>
      <c r="E21" s="5">
        <v>17259476</v>
      </c>
      <c r="G21" s="5">
        <v>5947943</v>
      </c>
      <c r="I21" s="5">
        <v>7147265</v>
      </c>
      <c r="K21" s="5">
        <f>714023+86390+22674</f>
        <v>823087</v>
      </c>
      <c r="M21" s="5">
        <v>9289124</v>
      </c>
      <c r="O21" s="38">
        <f t="shared" si="0"/>
        <v>10112211</v>
      </c>
      <c r="Q21" s="5">
        <f t="shared" si="1"/>
        <v>0</v>
      </c>
    </row>
    <row r="22" spans="1:17" ht="12">
      <c r="A22" s="13" t="s">
        <v>194</v>
      </c>
      <c r="B22" s="13"/>
      <c r="C22" s="5">
        <v>27025518</v>
      </c>
      <c r="E22" s="5">
        <v>42205723</v>
      </c>
      <c r="G22" s="5">
        <v>10956412</v>
      </c>
      <c r="I22" s="5">
        <v>13653685</v>
      </c>
      <c r="K22" s="5">
        <v>1234181</v>
      </c>
      <c r="M22" s="5">
        <f>25017857+2300000</f>
        <v>27317857</v>
      </c>
      <c r="O22" s="38">
        <f t="shared" si="0"/>
        <v>28552038</v>
      </c>
      <c r="Q22" s="5">
        <f t="shared" si="1"/>
        <v>0</v>
      </c>
    </row>
    <row r="23" spans="1:17" ht="12">
      <c r="A23" s="13" t="s">
        <v>23</v>
      </c>
      <c r="B23" s="13"/>
      <c r="C23" s="5">
        <v>1532799</v>
      </c>
      <c r="E23" s="5">
        <v>4411465</v>
      </c>
      <c r="G23" s="5">
        <v>1814245</v>
      </c>
      <c r="I23" s="5">
        <v>3385338</v>
      </c>
      <c r="K23" s="5">
        <f>183290+48657+61099</f>
        <v>293046</v>
      </c>
      <c r="M23" s="5">
        <v>733081</v>
      </c>
      <c r="O23" s="38">
        <f t="shared" si="0"/>
        <v>1026127</v>
      </c>
      <c r="Q23" s="5">
        <f t="shared" si="1"/>
        <v>0</v>
      </c>
    </row>
    <row r="24" spans="1:17" ht="12" hidden="1">
      <c r="A24" s="13" t="s">
        <v>24</v>
      </c>
      <c r="B24" s="13"/>
      <c r="C24" s="5">
        <v>0</v>
      </c>
      <c r="E24" s="5">
        <v>0</v>
      </c>
      <c r="G24" s="5">
        <v>0</v>
      </c>
      <c r="I24" s="5">
        <v>0</v>
      </c>
      <c r="K24" s="5">
        <v>0</v>
      </c>
      <c r="M24" s="5">
        <v>0</v>
      </c>
      <c r="O24" s="38">
        <f t="shared" si="0"/>
        <v>0</v>
      </c>
      <c r="Q24" s="5">
        <f t="shared" si="1"/>
        <v>0</v>
      </c>
    </row>
    <row r="25" spans="1:17" ht="12" hidden="1">
      <c r="A25" s="13" t="s">
        <v>25</v>
      </c>
      <c r="B25" s="13"/>
      <c r="O25" s="38">
        <f t="shared" si="0"/>
        <v>0</v>
      </c>
      <c r="Q25" s="5">
        <f t="shared" si="1"/>
        <v>0</v>
      </c>
    </row>
    <row r="26" spans="1:17" ht="12">
      <c r="A26" s="13" t="s">
        <v>192</v>
      </c>
      <c r="B26" s="13"/>
      <c r="C26" s="5">
        <f>2975489</f>
        <v>2975489</v>
      </c>
      <c r="E26" s="5">
        <v>7054591</v>
      </c>
      <c r="G26" s="5">
        <v>2232775</v>
      </c>
      <c r="I26" s="5">
        <v>2598138</v>
      </c>
      <c r="K26" s="5">
        <f>87374+858818</f>
        <v>946192</v>
      </c>
      <c r="M26" s="5">
        <v>3510261</v>
      </c>
      <c r="O26" s="38">
        <f t="shared" si="0"/>
        <v>4456453</v>
      </c>
      <c r="Q26" s="5">
        <f t="shared" si="1"/>
        <v>0</v>
      </c>
    </row>
    <row r="27" spans="1:17" ht="12">
      <c r="A27" s="13" t="s">
        <v>26</v>
      </c>
      <c r="B27" s="13"/>
      <c r="C27" s="5">
        <v>78120000</v>
      </c>
      <c r="E27" s="5">
        <v>235462000</v>
      </c>
      <c r="G27" s="5">
        <v>50161000</v>
      </c>
      <c r="I27" s="5">
        <v>70571000</v>
      </c>
      <c r="K27" s="5">
        <f>35849000+1000000+9850000</f>
        <v>46699000</v>
      </c>
      <c r="M27" s="5">
        <f>1139000+10983000+106070000</f>
        <v>118192000</v>
      </c>
      <c r="O27" s="38">
        <f t="shared" si="0"/>
        <v>164891000</v>
      </c>
      <c r="Q27" s="5">
        <f t="shared" si="1"/>
        <v>0</v>
      </c>
    </row>
    <row r="28" spans="1:17" ht="12">
      <c r="A28" s="13" t="s">
        <v>27</v>
      </c>
      <c r="B28" s="13"/>
      <c r="C28" s="5">
        <f>4750+247517</f>
        <v>252267</v>
      </c>
      <c r="E28" s="5">
        <v>5797821</v>
      </c>
      <c r="G28" s="5">
        <v>3079985</v>
      </c>
      <c r="I28" s="5">
        <v>3815246</v>
      </c>
      <c r="K28" s="5">
        <f>16650+87322+57766</f>
        <v>161738</v>
      </c>
      <c r="M28" s="5">
        <v>1820837</v>
      </c>
      <c r="O28" s="38">
        <f t="shared" si="0"/>
        <v>1982575</v>
      </c>
      <c r="Q28" s="5">
        <f t="shared" si="1"/>
        <v>0</v>
      </c>
    </row>
    <row r="29" spans="1:17" ht="12">
      <c r="A29" s="13" t="s">
        <v>28</v>
      </c>
      <c r="B29" s="13"/>
      <c r="C29" s="5">
        <f>5197366+148772</f>
        <v>5346138</v>
      </c>
      <c r="E29" s="5">
        <v>10213912</v>
      </c>
      <c r="G29" s="5">
        <v>1965327</v>
      </c>
      <c r="I29" s="5">
        <v>2385075</v>
      </c>
      <c r="K29" s="5">
        <f>175334+57612+1501+141980+1508969</f>
        <v>1885396</v>
      </c>
      <c r="M29" s="5">
        <v>5943441</v>
      </c>
      <c r="O29" s="38">
        <f t="shared" si="0"/>
        <v>7828837</v>
      </c>
      <c r="Q29" s="5">
        <f t="shared" si="1"/>
        <v>0</v>
      </c>
    </row>
    <row r="30" spans="1:17" ht="12">
      <c r="A30" s="13" t="s">
        <v>29</v>
      </c>
      <c r="B30" s="13"/>
      <c r="C30" s="5">
        <v>12267105</v>
      </c>
      <c r="E30" s="5">
        <v>20639216</v>
      </c>
      <c r="G30" s="5">
        <v>4468191</v>
      </c>
      <c r="I30" s="5">
        <v>5916457</v>
      </c>
      <c r="K30" s="5">
        <f>680757</f>
        <v>680757</v>
      </c>
      <c r="M30" s="5">
        <v>14042002</v>
      </c>
      <c r="O30" s="38">
        <f t="shared" si="0"/>
        <v>14722759</v>
      </c>
      <c r="Q30" s="5">
        <f t="shared" si="1"/>
        <v>0</v>
      </c>
    </row>
    <row r="31" spans="1:17" ht="12">
      <c r="A31" s="13" t="s">
        <v>30</v>
      </c>
      <c r="B31" s="13"/>
      <c r="C31" s="5">
        <f>7005216</f>
        <v>7005216</v>
      </c>
      <c r="E31" s="5">
        <v>16029016</v>
      </c>
      <c r="G31" s="5">
        <v>6069279</v>
      </c>
      <c r="I31" s="5">
        <v>7743377</v>
      </c>
      <c r="K31" s="5">
        <f>1419791+9567+6401+400</f>
        <v>1436159</v>
      </c>
      <c r="M31" s="5">
        <f>2000000+4849480</f>
        <v>6849480</v>
      </c>
      <c r="O31" s="38">
        <f t="shared" si="0"/>
        <v>8285639</v>
      </c>
      <c r="P31" s="5"/>
      <c r="Q31" s="5">
        <f t="shared" si="1"/>
        <v>0</v>
      </c>
    </row>
    <row r="32" spans="1:17" ht="12">
      <c r="A32" s="13" t="s">
        <v>31</v>
      </c>
      <c r="B32" s="13"/>
      <c r="C32" s="5">
        <f>11831183+129844</f>
        <v>11961027</v>
      </c>
      <c r="E32" s="5">
        <v>23590284</v>
      </c>
      <c r="G32" s="5">
        <v>7494728</v>
      </c>
      <c r="I32" s="5">
        <v>9018901</v>
      </c>
      <c r="K32" s="5">
        <f>1174804+84853+92089</f>
        <v>1351746</v>
      </c>
      <c r="M32" s="5">
        <v>13219637</v>
      </c>
      <c r="O32" s="38">
        <f t="shared" si="0"/>
        <v>14571383</v>
      </c>
      <c r="Q32" s="5">
        <f t="shared" si="1"/>
        <v>0</v>
      </c>
    </row>
    <row r="33" spans="1:17" ht="12">
      <c r="A33" s="13" t="s">
        <v>32</v>
      </c>
      <c r="B33" s="13"/>
      <c r="C33" s="5">
        <f>1058280+373</f>
        <v>1058653</v>
      </c>
      <c r="E33" s="5">
        <v>3352266</v>
      </c>
      <c r="G33" s="5">
        <v>1774621</v>
      </c>
      <c r="I33" s="5">
        <v>2069658</v>
      </c>
      <c r="K33" s="5">
        <f>56615+36012</f>
        <v>92627</v>
      </c>
      <c r="M33" s="5">
        <v>1189981</v>
      </c>
      <c r="O33" s="38">
        <f t="shared" si="0"/>
        <v>1282608</v>
      </c>
      <c r="Q33" s="5">
        <f t="shared" si="1"/>
        <v>0</v>
      </c>
    </row>
    <row r="34" spans="1:17" ht="12">
      <c r="A34" s="13" t="s">
        <v>33</v>
      </c>
      <c r="B34" s="13"/>
      <c r="C34" s="5">
        <f>131895000-165060</f>
        <v>131729940</v>
      </c>
      <c r="E34" s="5">
        <v>379695000</v>
      </c>
      <c r="G34" s="5">
        <v>57294000</v>
      </c>
      <c r="I34" s="5">
        <v>239082000</v>
      </c>
      <c r="K34" s="5">
        <f>1165000+678000</f>
        <v>1843000</v>
      </c>
      <c r="M34" s="5">
        <f>105396000+17674000+15700000</f>
        <v>138770000</v>
      </c>
      <c r="O34" s="38">
        <f t="shared" si="0"/>
        <v>140613000</v>
      </c>
      <c r="Q34" s="5">
        <f>+E34-I34-O34</f>
        <v>0</v>
      </c>
    </row>
    <row r="35" spans="1:17" ht="12">
      <c r="A35" s="13" t="s">
        <v>34</v>
      </c>
      <c r="B35" s="13"/>
      <c r="C35" s="5">
        <f>2754434+110786</f>
        <v>2865220</v>
      </c>
      <c r="E35" s="5">
        <v>7833302</v>
      </c>
      <c r="G35" s="5">
        <v>2431284</v>
      </c>
      <c r="I35" s="5">
        <v>2836998</v>
      </c>
      <c r="K35" s="5">
        <f>120303+44283+31063+433364</f>
        <v>629013</v>
      </c>
      <c r="M35" s="5">
        <f>485440+3881851</f>
        <v>4367291</v>
      </c>
      <c r="O35" s="38">
        <f t="shared" si="0"/>
        <v>4996304</v>
      </c>
      <c r="Q35" s="5">
        <f t="shared" si="1"/>
        <v>0</v>
      </c>
    </row>
    <row r="36" spans="1:17" ht="12">
      <c r="A36" s="13" t="s">
        <v>35</v>
      </c>
      <c r="B36" s="13"/>
      <c r="C36" s="5">
        <v>524981</v>
      </c>
      <c r="E36" s="5">
        <v>3028068</v>
      </c>
      <c r="G36" s="5">
        <v>1730703</v>
      </c>
      <c r="I36" s="5">
        <v>2055211</v>
      </c>
      <c r="K36" s="5">
        <f>2261+51788+40170+69472</f>
        <v>163691</v>
      </c>
      <c r="M36" s="5">
        <v>809166</v>
      </c>
      <c r="O36" s="38">
        <f t="shared" si="0"/>
        <v>972857</v>
      </c>
      <c r="Q36" s="5">
        <f t="shared" si="1"/>
        <v>0</v>
      </c>
    </row>
    <row r="37" spans="1:17" ht="12">
      <c r="A37" s="13" t="s">
        <v>36</v>
      </c>
      <c r="B37" s="13"/>
      <c r="C37" s="5">
        <f>2352799+3635</f>
        <v>2356434</v>
      </c>
      <c r="E37" s="5">
        <v>12130702</v>
      </c>
      <c r="G37" s="5">
        <v>7794797</v>
      </c>
      <c r="I37" s="5">
        <v>8552161</v>
      </c>
      <c r="K37" s="5">
        <f>203363+111341</f>
        <v>314704</v>
      </c>
      <c r="M37" s="5">
        <v>3263837</v>
      </c>
      <c r="O37" s="38">
        <f t="shared" si="0"/>
        <v>3578541</v>
      </c>
      <c r="Q37" s="5">
        <f t="shared" si="1"/>
        <v>0</v>
      </c>
    </row>
    <row r="38" spans="1:17" ht="12">
      <c r="A38" s="13" t="s">
        <v>195</v>
      </c>
      <c r="B38" s="13"/>
      <c r="C38" s="5">
        <v>9715104</v>
      </c>
      <c r="E38" s="5">
        <v>24666600</v>
      </c>
      <c r="G38" s="5">
        <v>10115167</v>
      </c>
      <c r="I38" s="5">
        <v>12788070</v>
      </c>
      <c r="K38" s="5">
        <f>856042</f>
        <v>856042</v>
      </c>
      <c r="M38" s="5">
        <f>1000000+10022488</f>
        <v>11022488</v>
      </c>
      <c r="O38" s="38">
        <f t="shared" si="0"/>
        <v>11878530</v>
      </c>
      <c r="Q38" s="5">
        <f t="shared" si="1"/>
        <v>0</v>
      </c>
    </row>
    <row r="39" spans="1:17" ht="12">
      <c r="A39" s="13" t="s">
        <v>37</v>
      </c>
      <c r="B39" s="13"/>
      <c r="C39" s="5">
        <f>3644021</f>
        <v>3644021</v>
      </c>
      <c r="E39" s="5">
        <v>6125473</v>
      </c>
      <c r="G39" s="5">
        <v>1062789</v>
      </c>
      <c r="I39" s="5">
        <v>1334745</v>
      </c>
      <c r="K39" s="5">
        <f>44549+90131</f>
        <v>134680</v>
      </c>
      <c r="M39" s="5">
        <v>4656048</v>
      </c>
      <c r="O39" s="38">
        <f t="shared" si="0"/>
        <v>4790728</v>
      </c>
      <c r="Q39" s="5">
        <f t="shared" si="1"/>
        <v>0</v>
      </c>
    </row>
    <row r="40" spans="1:17" ht="12">
      <c r="A40" s="13" t="s">
        <v>38</v>
      </c>
      <c r="B40" s="13"/>
      <c r="C40" s="5">
        <v>85571000</v>
      </c>
      <c r="E40" s="5">
        <v>151982000</v>
      </c>
      <c r="G40" s="5">
        <v>35872000</v>
      </c>
      <c r="I40" s="5">
        <v>50055000</v>
      </c>
      <c r="K40" s="5">
        <f>(1000+23100+7572+7316)*1000</f>
        <v>38988000</v>
      </c>
      <c r="M40" s="5">
        <v>62939000</v>
      </c>
      <c r="O40" s="38">
        <f t="shared" si="0"/>
        <v>101927000</v>
      </c>
      <c r="Q40" s="5">
        <f t="shared" si="1"/>
        <v>0</v>
      </c>
    </row>
    <row r="41" spans="1:17" ht="12">
      <c r="A41" s="13" t="s">
        <v>39</v>
      </c>
      <c r="B41" s="13"/>
      <c r="C41" s="5">
        <f>2623462+5531</f>
        <v>2628993</v>
      </c>
      <c r="E41" s="5">
        <v>6622960</v>
      </c>
      <c r="G41" s="5">
        <v>2845523</v>
      </c>
      <c r="I41" s="5">
        <v>3830056</v>
      </c>
      <c r="K41" s="5">
        <v>262092</v>
      </c>
      <c r="M41" s="5">
        <v>2530812</v>
      </c>
      <c r="O41" s="38">
        <f t="shared" si="0"/>
        <v>2792904</v>
      </c>
      <c r="Q41" s="5">
        <f t="shared" si="1"/>
        <v>0</v>
      </c>
    </row>
    <row r="42" spans="1:17" ht="12" hidden="1">
      <c r="A42" s="13" t="s">
        <v>169</v>
      </c>
      <c r="B42" s="13"/>
      <c r="C42" s="5">
        <v>0</v>
      </c>
      <c r="E42" s="5">
        <v>0</v>
      </c>
      <c r="G42" s="5">
        <v>0</v>
      </c>
      <c r="I42" s="5">
        <v>0</v>
      </c>
      <c r="K42" s="5">
        <v>0</v>
      </c>
      <c r="M42" s="5">
        <v>0</v>
      </c>
      <c r="O42" s="38">
        <f t="shared" si="0"/>
        <v>0</v>
      </c>
      <c r="Q42" s="5">
        <f t="shared" si="1"/>
        <v>0</v>
      </c>
    </row>
    <row r="43" spans="1:17" ht="12" hidden="1">
      <c r="A43" s="13" t="s">
        <v>40</v>
      </c>
      <c r="B43" s="13"/>
      <c r="C43" s="5">
        <v>2334154</v>
      </c>
      <c r="E43" s="5">
        <v>0</v>
      </c>
      <c r="G43" s="5">
        <v>0</v>
      </c>
      <c r="I43" s="5">
        <v>0</v>
      </c>
      <c r="K43" s="5">
        <v>0</v>
      </c>
      <c r="M43" s="5">
        <v>0</v>
      </c>
      <c r="O43" s="38">
        <f t="shared" si="0"/>
        <v>0</v>
      </c>
      <c r="Q43" s="5">
        <f t="shared" si="1"/>
        <v>0</v>
      </c>
    </row>
    <row r="44" spans="1:17" ht="12">
      <c r="A44" s="13" t="s">
        <v>41</v>
      </c>
      <c r="B44" s="13"/>
      <c r="C44" s="5">
        <f>1957559</f>
        <v>1957559</v>
      </c>
      <c r="E44" s="5">
        <v>5504195</v>
      </c>
      <c r="G44" s="5">
        <v>2592490</v>
      </c>
      <c r="I44" s="5">
        <v>2962370</v>
      </c>
      <c r="K44" s="5">
        <f>36258+99224+4692+168000</f>
        <v>308174</v>
      </c>
      <c r="M44" s="5">
        <v>2233651</v>
      </c>
      <c r="O44" s="38">
        <f t="shared" si="0"/>
        <v>2541825</v>
      </c>
      <c r="Q44" s="5">
        <f t="shared" si="1"/>
        <v>0</v>
      </c>
    </row>
    <row r="45" spans="1:17" ht="12" hidden="1">
      <c r="A45" s="13" t="s">
        <v>42</v>
      </c>
      <c r="B45" s="13"/>
      <c r="C45" s="5">
        <v>0</v>
      </c>
      <c r="O45" s="38">
        <f t="shared" si="0"/>
        <v>0</v>
      </c>
      <c r="Q45" s="5">
        <f t="shared" si="1"/>
        <v>0</v>
      </c>
    </row>
    <row r="46" spans="1:17" ht="12">
      <c r="A46" s="13" t="s">
        <v>43</v>
      </c>
      <c r="B46" s="13"/>
      <c r="C46" s="5">
        <v>1612715</v>
      </c>
      <c r="E46" s="5">
        <v>3953702</v>
      </c>
      <c r="G46" s="5">
        <v>1837885</v>
      </c>
      <c r="I46" s="5">
        <v>2313928</v>
      </c>
      <c r="K46" s="5">
        <v>43543</v>
      </c>
      <c r="M46" s="5">
        <v>1596231</v>
      </c>
      <c r="O46" s="38">
        <f t="shared" si="0"/>
        <v>1639774</v>
      </c>
      <c r="Q46" s="5">
        <f t="shared" si="1"/>
        <v>0</v>
      </c>
    </row>
    <row r="47" spans="1:17" ht="12">
      <c r="A47" s="13" t="s">
        <v>44</v>
      </c>
      <c r="B47" s="13"/>
      <c r="C47" s="5">
        <f>1559020+9346</f>
        <v>1568366</v>
      </c>
      <c r="E47" s="5">
        <v>4415504</v>
      </c>
      <c r="G47" s="5">
        <v>2312273</v>
      </c>
      <c r="I47" s="5">
        <v>2646873</v>
      </c>
      <c r="K47" s="5">
        <f>101490+17118</f>
        <v>118608</v>
      </c>
      <c r="M47" s="5">
        <v>1650023</v>
      </c>
      <c r="O47" s="38">
        <f t="shared" si="0"/>
        <v>1768631</v>
      </c>
      <c r="Q47" s="5">
        <f t="shared" si="1"/>
        <v>0</v>
      </c>
    </row>
    <row r="48" spans="1:17" ht="12">
      <c r="A48" s="13" t="s">
        <v>45</v>
      </c>
      <c r="B48" s="13"/>
      <c r="C48" s="5">
        <f>3276213</f>
        <v>3276213</v>
      </c>
      <c r="E48" s="5">
        <v>5989807</v>
      </c>
      <c r="G48" s="5">
        <v>1471076</v>
      </c>
      <c r="I48" s="5">
        <v>2204561</v>
      </c>
      <c r="K48" s="5">
        <f>116639+99916+1978</f>
        <v>218533</v>
      </c>
      <c r="M48" s="5">
        <v>3566713</v>
      </c>
      <c r="O48" s="38">
        <f t="shared" si="0"/>
        <v>3785246</v>
      </c>
      <c r="Q48" s="5">
        <f t="shared" si="1"/>
        <v>0</v>
      </c>
    </row>
    <row r="49" spans="1:17" ht="12">
      <c r="A49" s="13" t="s">
        <v>46</v>
      </c>
      <c r="B49" s="13"/>
      <c r="C49" s="5">
        <v>1965540</v>
      </c>
      <c r="E49" s="5">
        <v>3818758</v>
      </c>
      <c r="G49" s="5">
        <v>1399056</v>
      </c>
      <c r="I49" s="5">
        <v>3834782</v>
      </c>
      <c r="K49" s="5">
        <f>5498+2603+293978</f>
        <v>302079</v>
      </c>
      <c r="M49" s="5">
        <v>-318103</v>
      </c>
      <c r="O49" s="38">
        <f t="shared" si="0"/>
        <v>-16024</v>
      </c>
      <c r="Q49" s="5">
        <f t="shared" si="1"/>
        <v>0</v>
      </c>
    </row>
    <row r="50" spans="1:17" ht="12">
      <c r="A50" s="13" t="s">
        <v>47</v>
      </c>
      <c r="B50" s="13"/>
      <c r="C50" s="5">
        <f>517722+99918+50627</f>
        <v>668267</v>
      </c>
      <c r="E50" s="5">
        <v>6577015</v>
      </c>
      <c r="G50" s="5">
        <v>3275180</v>
      </c>
      <c r="I50" s="5">
        <v>3705212</v>
      </c>
      <c r="K50" s="5">
        <f>63068+307179</f>
        <v>370247</v>
      </c>
      <c r="M50" s="5">
        <f>50627+2450929</f>
        <v>2501556</v>
      </c>
      <c r="O50" s="38">
        <f t="shared" si="0"/>
        <v>2871803</v>
      </c>
      <c r="Q50" s="5">
        <f t="shared" si="1"/>
        <v>0</v>
      </c>
    </row>
    <row r="51" spans="1:17" ht="12">
      <c r="A51" s="13" t="s">
        <v>48</v>
      </c>
      <c r="B51" s="13"/>
      <c r="C51" s="5">
        <f>3418574+1574</f>
        <v>3420148</v>
      </c>
      <c r="E51" s="5">
        <v>8586238</v>
      </c>
      <c r="G51" s="5">
        <v>4260296</v>
      </c>
      <c r="I51" s="5">
        <v>4868250</v>
      </c>
      <c r="K51" s="5">
        <f>254881+2305+300000+30010+289726</f>
        <v>876922</v>
      </c>
      <c r="M51" s="5">
        <v>2841066</v>
      </c>
      <c r="O51" s="38">
        <f t="shared" si="0"/>
        <v>3717988</v>
      </c>
      <c r="Q51" s="5">
        <f t="shared" si="1"/>
        <v>0</v>
      </c>
    </row>
    <row r="52" spans="1:17" ht="12">
      <c r="A52" s="13" t="s">
        <v>49</v>
      </c>
      <c r="B52" s="13"/>
      <c r="C52" s="5">
        <v>9224327</v>
      </c>
      <c r="E52" s="5">
        <v>43608999</v>
      </c>
      <c r="G52" s="5">
        <v>15188737</v>
      </c>
      <c r="I52" s="5">
        <v>17729337</v>
      </c>
      <c r="K52" s="5">
        <f>103072+174468+3790033+3343881+177783</f>
        <v>7589237</v>
      </c>
      <c r="M52" s="5">
        <v>18290425</v>
      </c>
      <c r="O52" s="5">
        <f>SUM(K52:M52)</f>
        <v>25879662</v>
      </c>
      <c r="Q52" s="5">
        <f t="shared" si="1"/>
        <v>0</v>
      </c>
    </row>
    <row r="53" spans="1:17" ht="12" hidden="1">
      <c r="A53" s="13" t="s">
        <v>171</v>
      </c>
      <c r="B53" s="13"/>
      <c r="C53" s="5">
        <v>0</v>
      </c>
      <c r="E53" s="5">
        <v>0</v>
      </c>
      <c r="G53" s="5">
        <v>0</v>
      </c>
      <c r="I53" s="5">
        <v>0</v>
      </c>
      <c r="K53" s="5">
        <v>0</v>
      </c>
      <c r="M53" s="5">
        <v>0</v>
      </c>
      <c r="O53" s="38">
        <f t="shared" si="0"/>
        <v>0</v>
      </c>
      <c r="Q53" s="5">
        <f t="shared" si="1"/>
        <v>0</v>
      </c>
    </row>
    <row r="54" spans="1:17" ht="12">
      <c r="A54" s="13" t="s">
        <v>50</v>
      </c>
      <c r="B54" s="13"/>
      <c r="C54" s="5">
        <f>6925884+1682241</f>
        <v>8608125</v>
      </c>
      <c r="E54" s="5">
        <v>19069774</v>
      </c>
      <c r="G54" s="5">
        <v>7189433</v>
      </c>
      <c r="I54" s="5">
        <v>8691804</v>
      </c>
      <c r="K54" s="5">
        <f>313761+82552+115525</f>
        <v>511838</v>
      </c>
      <c r="M54" s="5">
        <v>9866132</v>
      </c>
      <c r="O54" s="38">
        <f t="shared" si="0"/>
        <v>10377970</v>
      </c>
      <c r="Q54" s="5">
        <f t="shared" si="1"/>
        <v>0</v>
      </c>
    </row>
    <row r="55" spans="1:17" ht="12">
      <c r="A55" s="13" t="s">
        <v>51</v>
      </c>
      <c r="B55" s="13"/>
      <c r="C55" s="5">
        <f>6338168</f>
        <v>6338168</v>
      </c>
      <c r="E55" s="5">
        <v>12921245</v>
      </c>
      <c r="G55" s="5">
        <v>4154224</v>
      </c>
      <c r="I55" s="5">
        <v>5100760</v>
      </c>
      <c r="K55" s="5">
        <f>431055+656825+53752+207960</f>
        <v>1349592</v>
      </c>
      <c r="M55" s="5">
        <v>6470893</v>
      </c>
      <c r="O55" s="38">
        <f t="shared" si="0"/>
        <v>7820485</v>
      </c>
      <c r="Q55" s="5">
        <f t="shared" si="1"/>
        <v>0</v>
      </c>
    </row>
    <row r="56" spans="1:17" ht="12">
      <c r="A56" s="13" t="s">
        <v>52</v>
      </c>
      <c r="B56" s="13"/>
      <c r="C56" s="5">
        <v>23778004</v>
      </c>
      <c r="E56" s="5">
        <v>54493894</v>
      </c>
      <c r="G56" s="5">
        <v>11626994</v>
      </c>
      <c r="I56" s="5">
        <v>14560116</v>
      </c>
      <c r="K56" s="5">
        <f>1272875+285092+10940530</f>
        <v>12498497</v>
      </c>
      <c r="M56" s="5">
        <v>27435281</v>
      </c>
      <c r="O56" s="38">
        <f t="shared" si="0"/>
        <v>39933778</v>
      </c>
      <c r="Q56" s="5">
        <f t="shared" si="1"/>
        <v>0</v>
      </c>
    </row>
    <row r="57" spans="1:17" ht="12">
      <c r="A57" s="13" t="s">
        <v>196</v>
      </c>
      <c r="B57" s="13"/>
      <c r="C57" s="5">
        <f>2965000+28752000</f>
        <v>31717000</v>
      </c>
      <c r="E57" s="5">
        <v>71826000</v>
      </c>
      <c r="G57" s="5">
        <v>25839000</v>
      </c>
      <c r="I57" s="5">
        <v>34262000</v>
      </c>
      <c r="K57" s="5">
        <v>1579000</v>
      </c>
      <c r="M57" s="5">
        <v>35985000</v>
      </c>
      <c r="O57" s="38">
        <f t="shared" si="0"/>
        <v>37564000</v>
      </c>
      <c r="Q57" s="5">
        <f t="shared" si="1"/>
        <v>0</v>
      </c>
    </row>
    <row r="58" spans="1:17" ht="12" hidden="1">
      <c r="A58" s="13" t="s">
        <v>53</v>
      </c>
      <c r="B58" s="13"/>
      <c r="C58" s="5">
        <v>0</v>
      </c>
      <c r="E58" s="5">
        <v>0</v>
      </c>
      <c r="G58" s="5">
        <v>0</v>
      </c>
      <c r="I58" s="5">
        <v>0</v>
      </c>
      <c r="K58" s="5">
        <v>0</v>
      </c>
      <c r="M58" s="5">
        <v>0</v>
      </c>
      <c r="O58" s="38">
        <f t="shared" si="0"/>
        <v>0</v>
      </c>
      <c r="Q58" s="5">
        <f t="shared" si="1"/>
        <v>0</v>
      </c>
    </row>
    <row r="59" spans="1:17" ht="12">
      <c r="A59" s="13" t="s">
        <v>54</v>
      </c>
      <c r="B59" s="13"/>
      <c r="C59" s="5">
        <f>16088+6420000</f>
        <v>6436088</v>
      </c>
      <c r="E59" s="5">
        <v>20285204</v>
      </c>
      <c r="G59" s="5">
        <v>6199679</v>
      </c>
      <c r="I59" s="5">
        <v>9687469</v>
      </c>
      <c r="K59" s="5">
        <v>0</v>
      </c>
      <c r="M59" s="5">
        <f>1940739+8656996</f>
        <v>10597735</v>
      </c>
      <c r="O59" s="38">
        <f t="shared" si="0"/>
        <v>10597735</v>
      </c>
      <c r="Q59" s="5">
        <f t="shared" si="1"/>
        <v>0</v>
      </c>
    </row>
    <row r="60" spans="1:17" ht="12">
      <c r="A60" s="13" t="s">
        <v>55</v>
      </c>
      <c r="B60" s="13"/>
      <c r="C60" s="5">
        <v>3764492</v>
      </c>
      <c r="E60" s="5">
        <v>9079378</v>
      </c>
      <c r="G60" s="5">
        <v>3507882</v>
      </c>
      <c r="I60" s="5">
        <v>3974183</v>
      </c>
      <c r="K60" s="5">
        <f>836383+256857</f>
        <v>1093240</v>
      </c>
      <c r="M60" s="5">
        <v>4011955</v>
      </c>
      <c r="O60" s="38">
        <f t="shared" si="0"/>
        <v>5105195</v>
      </c>
      <c r="Q60" s="5">
        <f t="shared" si="1"/>
        <v>0</v>
      </c>
    </row>
    <row r="61" spans="1:17" ht="12">
      <c r="A61" s="13" t="s">
        <v>56</v>
      </c>
      <c r="B61" s="13"/>
      <c r="C61" s="5">
        <f>8733844+7887</f>
        <v>8741731</v>
      </c>
      <c r="E61" s="5">
        <v>23337273</v>
      </c>
      <c r="G61" s="5">
        <v>11498858</v>
      </c>
      <c r="I61" s="5">
        <v>13297832</v>
      </c>
      <c r="K61" s="5">
        <f>46003+86788</f>
        <v>132791</v>
      </c>
      <c r="M61" s="5">
        <v>9906650</v>
      </c>
      <c r="O61" s="38">
        <f t="shared" si="0"/>
        <v>10039441</v>
      </c>
      <c r="Q61" s="5">
        <f t="shared" si="1"/>
        <v>0</v>
      </c>
    </row>
    <row r="62" spans="1:17" ht="12" hidden="1">
      <c r="A62" s="13" t="s">
        <v>173</v>
      </c>
      <c r="B62" s="13"/>
      <c r="C62" s="5">
        <v>0</v>
      </c>
      <c r="E62" s="5">
        <v>0</v>
      </c>
      <c r="G62" s="5">
        <v>0</v>
      </c>
      <c r="I62" s="5">
        <v>0</v>
      </c>
      <c r="K62" s="5">
        <v>0</v>
      </c>
      <c r="M62" s="5">
        <v>0</v>
      </c>
      <c r="O62" s="38">
        <f t="shared" si="0"/>
        <v>0</v>
      </c>
      <c r="Q62" s="5">
        <f t="shared" si="1"/>
        <v>0</v>
      </c>
    </row>
    <row r="63" spans="1:17" ht="12" hidden="1">
      <c r="A63" s="13" t="s">
        <v>57</v>
      </c>
      <c r="B63" s="13"/>
      <c r="C63" s="5">
        <v>0</v>
      </c>
      <c r="E63" s="5">
        <v>0</v>
      </c>
      <c r="G63" s="5">
        <v>0</v>
      </c>
      <c r="I63" s="5">
        <v>0</v>
      </c>
      <c r="K63" s="5">
        <v>0</v>
      </c>
      <c r="M63" s="5">
        <v>0</v>
      </c>
      <c r="O63" s="38">
        <f t="shared" si="0"/>
        <v>0</v>
      </c>
      <c r="Q63" s="5">
        <f t="shared" si="1"/>
        <v>0</v>
      </c>
    </row>
    <row r="64" spans="1:17" ht="12">
      <c r="A64" s="13" t="s">
        <v>58</v>
      </c>
      <c r="B64" s="13"/>
      <c r="C64" s="5">
        <f>900505+14950218</f>
        <v>15850723</v>
      </c>
      <c r="E64" s="5">
        <v>24576680</v>
      </c>
      <c r="G64" s="5">
        <v>0</v>
      </c>
      <c r="I64" s="5">
        <v>6710339</v>
      </c>
      <c r="K64" s="5">
        <f>672557+197134+310468</f>
        <v>1180159</v>
      </c>
      <c r="M64" s="5">
        <v>16686182</v>
      </c>
      <c r="O64" s="38">
        <f t="shared" si="0"/>
        <v>17866341</v>
      </c>
      <c r="Q64" s="5">
        <f t="shared" si="1"/>
        <v>0</v>
      </c>
    </row>
    <row r="65" spans="1:17" ht="12" hidden="1">
      <c r="A65" s="13" t="s">
        <v>59</v>
      </c>
      <c r="B65" s="13"/>
      <c r="O65" s="38">
        <f t="shared" si="0"/>
        <v>0</v>
      </c>
      <c r="Q65" s="5">
        <f t="shared" si="1"/>
        <v>0</v>
      </c>
    </row>
    <row r="66" spans="1:17" ht="12">
      <c r="A66" s="13" t="s">
        <v>60</v>
      </c>
      <c r="B66" s="13"/>
      <c r="C66" s="5">
        <v>61756722</v>
      </c>
      <c r="E66" s="5">
        <v>116502647</v>
      </c>
      <c r="G66" s="5">
        <v>38571308</v>
      </c>
      <c r="I66" s="5">
        <v>45556065</v>
      </c>
      <c r="K66" s="5">
        <v>36778</v>
      </c>
      <c r="M66" s="5">
        <v>70909804</v>
      </c>
      <c r="O66" s="38">
        <f t="shared" si="0"/>
        <v>70946582</v>
      </c>
      <c r="Q66" s="5">
        <f t="shared" si="1"/>
        <v>0</v>
      </c>
    </row>
    <row r="67" spans="1:17" ht="12" hidden="1">
      <c r="A67" s="13" t="s">
        <v>61</v>
      </c>
      <c r="B67" s="13"/>
      <c r="C67" s="5">
        <v>0</v>
      </c>
      <c r="E67" s="5">
        <v>0</v>
      </c>
      <c r="G67" s="5">
        <v>0</v>
      </c>
      <c r="I67" s="5">
        <v>0</v>
      </c>
      <c r="K67" s="5">
        <v>0</v>
      </c>
      <c r="M67" s="5">
        <v>0</v>
      </c>
      <c r="O67" s="38">
        <v>0</v>
      </c>
      <c r="Q67" s="5">
        <f t="shared" si="1"/>
        <v>0</v>
      </c>
    </row>
    <row r="68" spans="1:17" ht="12">
      <c r="A68" s="13" t="s">
        <v>100</v>
      </c>
      <c r="B68" s="13"/>
      <c r="C68" s="5">
        <v>551845</v>
      </c>
      <c r="E68" s="5">
        <v>3481889</v>
      </c>
      <c r="G68" s="5">
        <v>0</v>
      </c>
      <c r="I68" s="5">
        <v>2587272</v>
      </c>
      <c r="K68" s="5">
        <f>205706+21913+81789</f>
        <v>309408</v>
      </c>
      <c r="M68" s="5">
        <v>585209</v>
      </c>
      <c r="O68" s="38">
        <f t="shared" si="0"/>
        <v>894617</v>
      </c>
      <c r="Q68" s="5">
        <f t="shared" si="1"/>
        <v>0</v>
      </c>
    </row>
    <row r="69" spans="1:17" ht="12">
      <c r="A69" s="13" t="s">
        <v>63</v>
      </c>
      <c r="B69" s="13"/>
      <c r="C69" s="5">
        <v>10083855</v>
      </c>
      <c r="E69" s="5">
        <v>16848316</v>
      </c>
      <c r="G69" s="5">
        <v>4966280</v>
      </c>
      <c r="I69" s="5">
        <v>6380635</v>
      </c>
      <c r="K69" s="5">
        <v>1239182</v>
      </c>
      <c r="M69" s="5">
        <v>9228499</v>
      </c>
      <c r="O69" s="38">
        <f t="shared" si="0"/>
        <v>10467681</v>
      </c>
      <c r="Q69" s="5">
        <f t="shared" si="1"/>
        <v>0</v>
      </c>
    </row>
    <row r="70" spans="1:17" ht="12">
      <c r="A70" s="13" t="s">
        <v>64</v>
      </c>
      <c r="B70" s="13"/>
      <c r="C70" s="5">
        <v>245223</v>
      </c>
      <c r="E70" s="5">
        <v>1338161</v>
      </c>
      <c r="G70" s="5">
        <v>735912</v>
      </c>
      <c r="I70" s="5">
        <v>849623</v>
      </c>
      <c r="K70" s="5">
        <f>19873+18182</f>
        <v>38055</v>
      </c>
      <c r="M70" s="5">
        <v>450483</v>
      </c>
      <c r="O70" s="38">
        <f t="shared" si="0"/>
        <v>488538</v>
      </c>
      <c r="Q70" s="5">
        <f t="shared" si="1"/>
        <v>0</v>
      </c>
    </row>
    <row r="71" spans="1:17" ht="12">
      <c r="A71" s="13" t="s">
        <v>65</v>
      </c>
      <c r="B71" s="13"/>
      <c r="C71" s="5">
        <f>3024500+43753</f>
        <v>3068253</v>
      </c>
      <c r="E71" s="5">
        <v>8057063</v>
      </c>
      <c r="G71" s="5">
        <v>3206001</v>
      </c>
      <c r="I71" s="5">
        <v>3808357</v>
      </c>
      <c r="K71" s="5">
        <f>486255+92947+439606</f>
        <v>1018808</v>
      </c>
      <c r="M71" s="5">
        <v>3229898</v>
      </c>
      <c r="O71" s="38">
        <f t="shared" si="0"/>
        <v>4248706</v>
      </c>
      <c r="Q71" s="5">
        <f t="shared" si="1"/>
        <v>0</v>
      </c>
    </row>
    <row r="72" spans="1:17" ht="12" hidden="1">
      <c r="A72" s="13" t="s">
        <v>134</v>
      </c>
      <c r="B72" s="13"/>
      <c r="C72" s="5">
        <v>0</v>
      </c>
      <c r="E72" s="5">
        <v>0</v>
      </c>
      <c r="G72" s="5">
        <v>0</v>
      </c>
      <c r="I72" s="5">
        <v>0</v>
      </c>
      <c r="K72" s="5">
        <v>0</v>
      </c>
      <c r="M72" s="5">
        <v>0</v>
      </c>
      <c r="O72" s="38">
        <f t="shared" si="0"/>
        <v>0</v>
      </c>
      <c r="Q72" s="5">
        <f t="shared" si="1"/>
        <v>0</v>
      </c>
    </row>
    <row r="73" spans="1:17" ht="12" hidden="1">
      <c r="A73" s="13" t="s">
        <v>66</v>
      </c>
      <c r="B73" s="13"/>
      <c r="C73" s="5">
        <v>0</v>
      </c>
      <c r="E73" s="5">
        <v>0</v>
      </c>
      <c r="G73" s="5">
        <v>0</v>
      </c>
      <c r="I73" s="5">
        <v>0</v>
      </c>
      <c r="K73" s="5">
        <v>0</v>
      </c>
      <c r="M73" s="5">
        <v>0</v>
      </c>
      <c r="O73" s="38">
        <f t="shared" si="0"/>
        <v>0</v>
      </c>
      <c r="Q73" s="5">
        <f t="shared" si="1"/>
        <v>0</v>
      </c>
    </row>
    <row r="74" spans="1:17" ht="12">
      <c r="A74" s="13" t="s">
        <v>67</v>
      </c>
      <c r="B74" s="13"/>
      <c r="C74" s="5">
        <f>2482078+50984</f>
        <v>2533062</v>
      </c>
      <c r="E74" s="5">
        <v>6688395</v>
      </c>
      <c r="G74" s="5">
        <v>2791871</v>
      </c>
      <c r="I74" s="5">
        <v>3552670</v>
      </c>
      <c r="K74" s="5">
        <v>0</v>
      </c>
      <c r="M74" s="5">
        <v>3135725</v>
      </c>
      <c r="O74" s="38">
        <f aca="true" t="shared" si="2" ref="O74:O99">+M74+K74</f>
        <v>3135725</v>
      </c>
      <c r="Q74" s="5">
        <f t="shared" si="1"/>
        <v>0</v>
      </c>
    </row>
    <row r="75" spans="1:17" s="5" customFormat="1" ht="12">
      <c r="A75" s="34" t="s">
        <v>68</v>
      </c>
      <c r="B75" s="34"/>
      <c r="C75" s="5">
        <f>2452990+462</f>
        <v>2453452</v>
      </c>
      <c r="E75" s="5">
        <v>4965130</v>
      </c>
      <c r="G75" s="5">
        <v>1039141</v>
      </c>
      <c r="I75" s="5">
        <v>1314827</v>
      </c>
      <c r="K75" s="5">
        <f>93864+14425+5123</f>
        <v>113412</v>
      </c>
      <c r="M75" s="5">
        <v>3536891</v>
      </c>
      <c r="O75" s="38">
        <f>+M75+K75</f>
        <v>3650303</v>
      </c>
      <c r="Q75" s="5">
        <f>+E75-I75-O75</f>
        <v>0</v>
      </c>
    </row>
    <row r="76" spans="1:17" ht="12">
      <c r="A76" s="13"/>
      <c r="B76" s="13"/>
      <c r="O76" s="38" t="s">
        <v>246</v>
      </c>
      <c r="Q76" s="5"/>
    </row>
    <row r="78" spans="1:17" s="60" customFormat="1" ht="12">
      <c r="A78" s="81" t="s">
        <v>69</v>
      </c>
      <c r="B78" s="81"/>
      <c r="C78" s="60">
        <f>6550622+91632+176261</f>
        <v>6818515</v>
      </c>
      <c r="E78" s="60">
        <v>21334995</v>
      </c>
      <c r="G78" s="60">
        <v>5825409</v>
      </c>
      <c r="I78" s="60">
        <v>7586683</v>
      </c>
      <c r="K78" s="60">
        <f>473473+640000+345784</f>
        <v>1459257</v>
      </c>
      <c r="M78" s="60">
        <v>12289055</v>
      </c>
      <c r="O78" s="74">
        <f t="shared" si="2"/>
        <v>13748312</v>
      </c>
      <c r="Q78" s="60">
        <f aca="true" t="shared" si="3" ref="Q78:Q100">+E78-I78-O78</f>
        <v>0</v>
      </c>
    </row>
    <row r="79" spans="1:17" ht="12">
      <c r="A79" s="13" t="s">
        <v>70</v>
      </c>
      <c r="B79" s="13"/>
      <c r="C79" s="5">
        <f>1701352+2066</f>
        <v>1703418</v>
      </c>
      <c r="E79" s="5">
        <v>5000951</v>
      </c>
      <c r="G79" s="5">
        <v>1972965</v>
      </c>
      <c r="I79" s="5">
        <v>2486029</v>
      </c>
      <c r="K79" s="5">
        <f>221920+4633</f>
        <v>226553</v>
      </c>
      <c r="M79" s="5">
        <v>2288369</v>
      </c>
      <c r="O79" s="38">
        <f t="shared" si="2"/>
        <v>2514922</v>
      </c>
      <c r="Q79" s="5">
        <f t="shared" si="3"/>
        <v>0</v>
      </c>
    </row>
    <row r="80" spans="1:17" ht="12" hidden="1">
      <c r="A80" s="13" t="s">
        <v>186</v>
      </c>
      <c r="B80" s="13"/>
      <c r="C80" s="5">
        <v>0</v>
      </c>
      <c r="E80" s="5">
        <v>0</v>
      </c>
      <c r="G80" s="5">
        <v>0</v>
      </c>
      <c r="I80" s="5">
        <v>0</v>
      </c>
      <c r="K80" s="5">
        <v>0</v>
      </c>
      <c r="M80" s="5">
        <v>0</v>
      </c>
      <c r="O80" s="38">
        <f t="shared" si="2"/>
        <v>0</v>
      </c>
      <c r="Q80" s="5">
        <f t="shared" si="3"/>
        <v>0</v>
      </c>
    </row>
    <row r="81" spans="1:17" ht="12">
      <c r="A81" s="13" t="s">
        <v>191</v>
      </c>
      <c r="B81" s="13"/>
      <c r="C81" s="5">
        <f>2743327+57467</f>
        <v>2800794</v>
      </c>
      <c r="E81" s="5">
        <v>8930994</v>
      </c>
      <c r="G81" s="5">
        <v>4207902</v>
      </c>
      <c r="I81" s="5">
        <v>5926908</v>
      </c>
      <c r="K81" s="5">
        <f>328076+68000+191569</f>
        <v>587645</v>
      </c>
      <c r="M81" s="5">
        <v>2416441</v>
      </c>
      <c r="O81" s="38">
        <f t="shared" si="2"/>
        <v>3004086</v>
      </c>
      <c r="Q81" s="5">
        <f t="shared" si="3"/>
        <v>0</v>
      </c>
    </row>
    <row r="82" spans="1:17" ht="12">
      <c r="A82" s="13" t="s">
        <v>71</v>
      </c>
      <c r="B82" s="13"/>
      <c r="C82" s="5">
        <f>2224882+32274</f>
        <v>2257156</v>
      </c>
      <c r="E82" s="5">
        <v>7191841</v>
      </c>
      <c r="G82" s="5">
        <v>2249895</v>
      </c>
      <c r="I82" s="5">
        <v>2673621</v>
      </c>
      <c r="K82" s="5">
        <v>135873</v>
      </c>
      <c r="M82" s="5">
        <v>4382347</v>
      </c>
      <c r="O82" s="38">
        <f t="shared" si="2"/>
        <v>4518220</v>
      </c>
      <c r="Q82" s="5">
        <f t="shared" si="3"/>
        <v>0</v>
      </c>
    </row>
    <row r="83" spans="1:17" ht="12">
      <c r="A83" s="13" t="s">
        <v>101</v>
      </c>
      <c r="B83" s="13"/>
      <c r="C83" s="5">
        <f>2039185</f>
        <v>2039185</v>
      </c>
      <c r="E83" s="5">
        <v>6876318</v>
      </c>
      <c r="G83" s="5">
        <v>3088763</v>
      </c>
      <c r="I83" s="5">
        <v>3608240</v>
      </c>
      <c r="K83" s="5">
        <f>234156+46073+80600+81553</f>
        <v>442382</v>
      </c>
      <c r="M83" s="5">
        <v>2825696</v>
      </c>
      <c r="O83" s="38">
        <f t="shared" si="2"/>
        <v>3268078</v>
      </c>
      <c r="Q83" s="5">
        <f t="shared" si="3"/>
        <v>0</v>
      </c>
    </row>
    <row r="84" spans="1:17" ht="12">
      <c r="A84" s="13" t="s">
        <v>73</v>
      </c>
      <c r="B84" s="13"/>
      <c r="C84" s="5">
        <f>1246855+4377</f>
        <v>1251232</v>
      </c>
      <c r="E84" s="5">
        <v>5107064</v>
      </c>
      <c r="G84" s="5">
        <v>2101584</v>
      </c>
      <c r="I84" s="5">
        <v>3151554</v>
      </c>
      <c r="K84" s="5">
        <v>263633</v>
      </c>
      <c r="M84" s="5">
        <v>1691877</v>
      </c>
      <c r="O84" s="38">
        <f t="shared" si="2"/>
        <v>1955510</v>
      </c>
      <c r="Q84" s="5">
        <f t="shared" si="3"/>
        <v>0</v>
      </c>
    </row>
    <row r="85" spans="1:17" ht="12">
      <c r="A85" s="13" t="s">
        <v>74</v>
      </c>
      <c r="B85" s="13"/>
      <c r="C85" s="5">
        <f>453020</f>
        <v>453020</v>
      </c>
      <c r="E85" s="5">
        <v>3949826</v>
      </c>
      <c r="G85" s="5">
        <v>2712116</v>
      </c>
      <c r="I85" s="5">
        <v>3383046</v>
      </c>
      <c r="K85" s="5">
        <f>211448+45624+91942+102570</f>
        <v>451584</v>
      </c>
      <c r="M85" s="5">
        <f>115196</f>
        <v>115196</v>
      </c>
      <c r="O85" s="38">
        <f t="shared" si="2"/>
        <v>566780</v>
      </c>
      <c r="Q85" s="5">
        <f t="shared" si="3"/>
        <v>0</v>
      </c>
    </row>
    <row r="86" spans="1:17" ht="12">
      <c r="A86" s="13" t="s">
        <v>75</v>
      </c>
      <c r="B86" s="13"/>
      <c r="C86" s="5">
        <f>2073034+6644</f>
        <v>2079678</v>
      </c>
      <c r="E86" s="5">
        <v>6561347</v>
      </c>
      <c r="G86" s="5">
        <v>2884747</v>
      </c>
      <c r="I86" s="5">
        <v>3518286</v>
      </c>
      <c r="K86" s="5">
        <f>32194+47271+88763+22500</f>
        <v>190728</v>
      </c>
      <c r="M86" s="5">
        <v>2852333</v>
      </c>
      <c r="O86" s="38">
        <f t="shared" si="2"/>
        <v>3043061</v>
      </c>
      <c r="Q86" s="5">
        <f t="shared" si="3"/>
        <v>0</v>
      </c>
    </row>
    <row r="87" spans="1:17" ht="12">
      <c r="A87" s="13" t="s">
        <v>76</v>
      </c>
      <c r="B87" s="13"/>
      <c r="C87" s="5">
        <f>11137349+710041+13073</f>
        <v>11860463</v>
      </c>
      <c r="E87" s="5">
        <v>31268444</v>
      </c>
      <c r="G87" s="5">
        <v>16191466</v>
      </c>
      <c r="I87" s="5">
        <v>19045587</v>
      </c>
      <c r="K87" s="5">
        <f>2995691+855220</f>
        <v>3850911</v>
      </c>
      <c r="M87" s="5">
        <v>8371946</v>
      </c>
      <c r="O87" s="38">
        <f t="shared" si="2"/>
        <v>12222857</v>
      </c>
      <c r="Q87" s="5">
        <f t="shared" si="3"/>
        <v>0</v>
      </c>
    </row>
    <row r="88" spans="1:17" ht="12">
      <c r="A88" s="13" t="s">
        <v>77</v>
      </c>
      <c r="B88" s="13"/>
      <c r="C88" s="5">
        <f>65076270+281797</f>
        <v>65358067</v>
      </c>
      <c r="E88" s="5">
        <v>107718725</v>
      </c>
      <c r="G88" s="5">
        <v>31395276</v>
      </c>
      <c r="I88" s="5">
        <v>36551308</v>
      </c>
      <c r="K88" s="5">
        <f>4197551+91112</f>
        <v>4288663</v>
      </c>
      <c r="M88" s="5">
        <v>66878754</v>
      </c>
      <c r="O88" s="38">
        <f t="shared" si="2"/>
        <v>71167417</v>
      </c>
      <c r="Q88" s="5">
        <f t="shared" si="3"/>
        <v>0</v>
      </c>
    </row>
    <row r="89" spans="1:17" ht="12">
      <c r="A89" s="13" t="s">
        <v>78</v>
      </c>
      <c r="B89" s="13"/>
      <c r="C89" s="5">
        <f>3507496+894688</f>
        <v>4402184</v>
      </c>
      <c r="E89" s="5">
        <v>16854888</v>
      </c>
      <c r="G89" s="5">
        <v>10093588</v>
      </c>
      <c r="I89" s="5">
        <v>11154692</v>
      </c>
      <c r="K89" s="5">
        <f>365630+723486</f>
        <v>1089116</v>
      </c>
      <c r="M89" s="5">
        <v>4611080</v>
      </c>
      <c r="O89" s="38">
        <f t="shared" si="2"/>
        <v>5700196</v>
      </c>
      <c r="Q89" s="5">
        <f t="shared" si="3"/>
        <v>0</v>
      </c>
    </row>
    <row r="90" spans="1:17" ht="12">
      <c r="A90" s="13" t="s">
        <v>79</v>
      </c>
      <c r="B90" s="13"/>
      <c r="C90" s="5">
        <v>15296439</v>
      </c>
      <c r="E90" s="5">
        <v>21493068</v>
      </c>
      <c r="G90" s="5">
        <v>4636419</v>
      </c>
      <c r="I90" s="5">
        <v>5280413</v>
      </c>
      <c r="K90" s="5">
        <f>340926+56614</f>
        <v>397540</v>
      </c>
      <c r="M90" s="5">
        <v>15815115</v>
      </c>
      <c r="O90" s="38">
        <f t="shared" si="2"/>
        <v>16212655</v>
      </c>
      <c r="Q90" s="5">
        <f t="shared" si="3"/>
        <v>0</v>
      </c>
    </row>
    <row r="91" spans="1:17" ht="12">
      <c r="A91" s="13" t="s">
        <v>80</v>
      </c>
      <c r="B91" s="13"/>
      <c r="C91" s="5">
        <f>2107671+173042+733733</f>
        <v>3014446</v>
      </c>
      <c r="E91" s="5">
        <v>7815869</v>
      </c>
      <c r="G91" s="5">
        <v>3525629</v>
      </c>
      <c r="I91" s="5">
        <v>4348802</v>
      </c>
      <c r="K91" s="5">
        <f>344151+427774+77181+240000</f>
        <v>1089106</v>
      </c>
      <c r="M91" s="5">
        <v>2377961</v>
      </c>
      <c r="O91" s="38">
        <f t="shared" si="2"/>
        <v>3467067</v>
      </c>
      <c r="Q91" s="5">
        <f t="shared" si="3"/>
        <v>0</v>
      </c>
    </row>
    <row r="92" spans="1:17" ht="12">
      <c r="A92" s="13" t="s">
        <v>81</v>
      </c>
      <c r="B92" s="13"/>
      <c r="C92" s="5">
        <f>2531196+110968</f>
        <v>2642164</v>
      </c>
      <c r="E92" s="5">
        <v>5024099</v>
      </c>
      <c r="G92" s="5">
        <v>1943786</v>
      </c>
      <c r="I92" s="5">
        <v>2202597</v>
      </c>
      <c r="K92" s="5">
        <f>63981+32295+10091</f>
        <v>106367</v>
      </c>
      <c r="M92" s="5">
        <v>2715135</v>
      </c>
      <c r="O92" s="38">
        <f t="shared" si="2"/>
        <v>2821502</v>
      </c>
      <c r="Q92" s="5">
        <f t="shared" si="3"/>
        <v>0</v>
      </c>
    </row>
    <row r="93" spans="1:17" ht="12">
      <c r="A93" s="13" t="s">
        <v>82</v>
      </c>
      <c r="B93" s="13"/>
      <c r="C93" s="5">
        <f>69033</f>
        <v>69033</v>
      </c>
      <c r="E93" s="5">
        <v>823898</v>
      </c>
      <c r="G93" s="5">
        <v>562698</v>
      </c>
      <c r="I93" s="5">
        <v>623041</v>
      </c>
      <c r="K93" s="5">
        <f>456+36578</f>
        <v>37034</v>
      </c>
      <c r="M93" s="5">
        <v>163823</v>
      </c>
      <c r="O93" s="38">
        <f t="shared" si="2"/>
        <v>200857</v>
      </c>
      <c r="Q93" s="5">
        <f t="shared" si="3"/>
        <v>0</v>
      </c>
    </row>
    <row r="94" spans="1:17" ht="12">
      <c r="A94" s="13" t="s">
        <v>83</v>
      </c>
      <c r="B94" s="13"/>
      <c r="C94" s="5">
        <v>13925904</v>
      </c>
      <c r="E94" s="5">
        <v>20808297</v>
      </c>
      <c r="G94" s="5">
        <v>1243367</v>
      </c>
      <c r="I94" s="5">
        <v>3716049</v>
      </c>
      <c r="K94" s="5">
        <f>2469138+347061+6954+165554</f>
        <v>2988707</v>
      </c>
      <c r="M94" s="5">
        <v>14103541</v>
      </c>
      <c r="O94" s="38">
        <f t="shared" si="2"/>
        <v>17092248</v>
      </c>
      <c r="Q94" s="5">
        <f t="shared" si="3"/>
        <v>0</v>
      </c>
    </row>
    <row r="95" spans="1:17" ht="12">
      <c r="A95" s="13" t="s">
        <v>84</v>
      </c>
      <c r="B95" s="13"/>
      <c r="C95" s="5">
        <f>852709+34096</f>
        <v>886805</v>
      </c>
      <c r="E95" s="5">
        <v>4588710</v>
      </c>
      <c r="G95" s="5">
        <v>3031705</v>
      </c>
      <c r="I95" s="5">
        <v>3395103</v>
      </c>
      <c r="K95" s="5">
        <f>190964+43872+90842</f>
        <v>325678</v>
      </c>
      <c r="M95" s="5">
        <v>867929</v>
      </c>
      <c r="O95" s="38">
        <f t="shared" si="2"/>
        <v>1193607</v>
      </c>
      <c r="Q95" s="5">
        <f t="shared" si="3"/>
        <v>0</v>
      </c>
    </row>
    <row r="96" spans="1:17" ht="12">
      <c r="A96" s="13" t="s">
        <v>85</v>
      </c>
      <c r="B96" s="13"/>
      <c r="C96" s="5">
        <f>7149411+20171</f>
        <v>7169582</v>
      </c>
      <c r="E96" s="5">
        <v>14886464</v>
      </c>
      <c r="G96" s="5">
        <v>5632608</v>
      </c>
      <c r="I96" s="5">
        <v>7005781</v>
      </c>
      <c r="K96" s="5">
        <f>797021+208282+127541</f>
        <v>1132844</v>
      </c>
      <c r="M96" s="5">
        <f>550000+6197839</f>
        <v>6747839</v>
      </c>
      <c r="O96" s="38">
        <f t="shared" si="2"/>
        <v>7880683</v>
      </c>
      <c r="Q96" s="5">
        <f t="shared" si="3"/>
        <v>0</v>
      </c>
    </row>
    <row r="97" spans="1:17" ht="12" hidden="1">
      <c r="A97" s="13" t="s">
        <v>184</v>
      </c>
      <c r="B97" s="13"/>
      <c r="C97" s="5">
        <v>0</v>
      </c>
      <c r="E97" s="5">
        <v>0</v>
      </c>
      <c r="G97" s="5">
        <v>0</v>
      </c>
      <c r="I97" s="5">
        <v>0</v>
      </c>
      <c r="K97" s="5">
        <v>0</v>
      </c>
      <c r="M97" s="5">
        <v>0</v>
      </c>
      <c r="O97" s="38">
        <f t="shared" si="2"/>
        <v>0</v>
      </c>
      <c r="Q97" s="5">
        <f t="shared" si="3"/>
        <v>0</v>
      </c>
    </row>
    <row r="98" spans="1:17" ht="12">
      <c r="A98" s="13" t="s">
        <v>86</v>
      </c>
      <c r="B98" s="13"/>
      <c r="C98" s="5">
        <f>8977034+106942</f>
        <v>9083976</v>
      </c>
      <c r="E98" s="5">
        <v>24391619</v>
      </c>
      <c r="G98" s="5">
        <v>13221492</v>
      </c>
      <c r="I98" s="5">
        <v>14362873</v>
      </c>
      <c r="K98" s="5">
        <f>86000+574602</f>
        <v>660602</v>
      </c>
      <c r="M98" s="5">
        <v>9368144</v>
      </c>
      <c r="O98" s="38">
        <f t="shared" si="2"/>
        <v>10028746</v>
      </c>
      <c r="Q98" s="5">
        <f t="shared" si="3"/>
        <v>0</v>
      </c>
    </row>
    <row r="99" spans="1:17" ht="12" hidden="1">
      <c r="A99" s="13" t="s">
        <v>185</v>
      </c>
      <c r="B99" s="13"/>
      <c r="C99" s="5">
        <v>0</v>
      </c>
      <c r="E99" s="5">
        <v>0</v>
      </c>
      <c r="G99" s="5">
        <v>0</v>
      </c>
      <c r="I99" s="5">
        <v>0</v>
      </c>
      <c r="K99" s="5">
        <v>0</v>
      </c>
      <c r="M99" s="5">
        <v>0</v>
      </c>
      <c r="O99" s="38">
        <f t="shared" si="2"/>
        <v>0</v>
      </c>
      <c r="Q99" s="5">
        <f t="shared" si="3"/>
        <v>0</v>
      </c>
    </row>
    <row r="100" spans="1:17" ht="12">
      <c r="A100" s="13"/>
      <c r="B100" s="13"/>
      <c r="Q100" s="5">
        <f t="shared" si="3"/>
        <v>0</v>
      </c>
    </row>
    <row r="101" spans="1:2" ht="12">
      <c r="A101" s="13"/>
      <c r="B101" s="13"/>
    </row>
  </sheetData>
  <printOptions/>
  <pageMargins left="1" right="1" top="0.5" bottom="0.5" header="0" footer="0.25"/>
  <pageSetup firstPageNumber="10" useFirstPageNumber="1" horizontalDpi="600" verticalDpi="600" orientation="portrait" pageOrder="overThenDown" r:id="rId1"/>
  <headerFooter alignWithMargins="0">
    <oddFooter>&amp;C&amp;"Times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33"/>
  <sheetViews>
    <sheetView zoomScaleSheetLayoutView="75" workbookViewId="0" topLeftCell="A35">
      <selection activeCell="A5" sqref="A5"/>
    </sheetView>
  </sheetViews>
  <sheetFormatPr defaultColWidth="9.140625" defaultRowHeight="12.75"/>
  <cols>
    <col min="1" max="1" width="11.7109375" style="15" customWidth="1"/>
    <col min="2" max="2" width="1.7109375" style="15" customWidth="1"/>
    <col min="3" max="3" width="11.7109375" style="15" customWidth="1"/>
    <col min="4" max="4" width="1.7109375" style="15" customWidth="1"/>
    <col min="5" max="5" width="11.7109375" style="15" customWidth="1"/>
    <col min="6" max="6" width="1.7109375" style="15" customWidth="1"/>
    <col min="7" max="7" width="11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1.7109375" style="15" customWidth="1"/>
    <col min="12" max="12" width="1.7109375" style="15" customWidth="1"/>
    <col min="13" max="13" width="11.7109375" style="15" customWidth="1"/>
    <col min="14" max="14" width="1.7109375" style="15" customWidth="1"/>
    <col min="15" max="15" width="11.7109375" style="15" customWidth="1"/>
    <col min="16" max="16" width="1.7109375" style="15" customWidth="1"/>
    <col min="17" max="17" width="11.7109375" style="15" customWidth="1"/>
    <col min="18" max="18" width="9.140625" style="2" customWidth="1"/>
    <col min="19" max="19" width="11.7109375" style="2" customWidth="1"/>
    <col min="20" max="20" width="9.140625" style="2" customWidth="1"/>
    <col min="21" max="21" width="11.7109375" style="2" customWidth="1"/>
    <col min="22" max="22" width="9.140625" style="2" customWidth="1"/>
    <col min="23" max="23" width="11.7109375" style="2" customWidth="1"/>
    <col min="24" max="24" width="9.140625" style="2" customWidth="1"/>
    <col min="25" max="25" width="11.7109375" style="2" customWidth="1"/>
    <col min="26" max="16384" width="9.140625" style="2" customWidth="1"/>
  </cols>
  <sheetData>
    <row r="1" spans="1:19" s="24" customFormat="1" ht="12">
      <c r="A1" s="6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pans="1:19" s="24" customFormat="1" ht="12">
      <c r="A2" s="6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</row>
    <row r="3" spans="1:19" s="15" customFormat="1" ht="12">
      <c r="A3" s="6" t="s">
        <v>197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3"/>
      <c r="S3" s="13"/>
    </row>
    <row r="5" spans="1:19" s="15" customFormat="1" ht="12">
      <c r="A5" s="19" t="s">
        <v>246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  <c r="S5" s="13"/>
    </row>
    <row r="6" spans="1:19" s="15" customFormat="1" ht="12">
      <c r="A6" s="1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3"/>
      <c r="S6" s="13"/>
    </row>
    <row r="7" spans="1:19" s="15" customFormat="1" ht="12">
      <c r="A7" s="3"/>
      <c r="B7" s="3"/>
      <c r="C7" s="3" t="s">
        <v>149</v>
      </c>
      <c r="D7" s="3"/>
      <c r="E7" s="3" t="s">
        <v>164</v>
      </c>
      <c r="F7" s="3"/>
      <c r="G7" s="3" t="s">
        <v>160</v>
      </c>
      <c r="H7" s="3"/>
      <c r="I7" s="3" t="s">
        <v>0</v>
      </c>
      <c r="J7" s="3"/>
      <c r="K7" s="3" t="s">
        <v>1</v>
      </c>
      <c r="L7" s="3"/>
      <c r="M7" s="3" t="s">
        <v>2</v>
      </c>
      <c r="N7" s="3"/>
      <c r="O7" s="3" t="s">
        <v>249</v>
      </c>
      <c r="P7" s="3"/>
      <c r="Q7" s="3" t="s">
        <v>3</v>
      </c>
      <c r="R7" s="13"/>
      <c r="S7" s="13"/>
    </row>
    <row r="8" spans="1:19" s="15" customFormat="1" ht="12">
      <c r="A8" s="53" t="s">
        <v>4</v>
      </c>
      <c r="B8" s="13"/>
      <c r="C8" s="53" t="s">
        <v>248</v>
      </c>
      <c r="D8" s="13"/>
      <c r="E8" s="53" t="s">
        <v>6</v>
      </c>
      <c r="F8" s="13"/>
      <c r="G8" s="53" t="s">
        <v>5</v>
      </c>
      <c r="H8" s="13"/>
      <c r="I8" s="53" t="s">
        <v>7</v>
      </c>
      <c r="J8" s="13"/>
      <c r="K8" s="53" t="s">
        <v>8</v>
      </c>
      <c r="L8" s="13"/>
      <c r="M8" s="53" t="s">
        <v>9</v>
      </c>
      <c r="N8" s="13"/>
      <c r="O8" s="53" t="s">
        <v>10</v>
      </c>
      <c r="P8" s="13"/>
      <c r="Q8" s="53" t="s">
        <v>11</v>
      </c>
      <c r="R8" s="13"/>
      <c r="S8" s="13"/>
    </row>
    <row r="9" spans="1:19" s="15" customFormat="1" ht="12" hidden="1">
      <c r="A9" s="13" t="s">
        <v>12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0"/>
      <c r="P9" s="10"/>
      <c r="Q9" s="14"/>
      <c r="R9" s="13"/>
      <c r="S9" s="13"/>
    </row>
    <row r="10" spans="1:19" s="15" customFormat="1" ht="1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0"/>
      <c r="P10" s="10"/>
      <c r="Q10" s="14"/>
      <c r="R10" s="13"/>
      <c r="S10" s="13"/>
    </row>
    <row r="11" spans="1:19" s="15" customFormat="1" ht="12">
      <c r="A11" s="13" t="s">
        <v>13</v>
      </c>
      <c r="B11" s="13"/>
      <c r="C11" s="61">
        <v>4683614</v>
      </c>
      <c r="D11" s="61"/>
      <c r="E11" s="61">
        <v>9309923</v>
      </c>
      <c r="F11" s="61"/>
      <c r="G11" s="61">
        <v>0</v>
      </c>
      <c r="H11" s="61"/>
      <c r="I11" s="61">
        <v>3502863</v>
      </c>
      <c r="J11" s="61"/>
      <c r="K11" s="61">
        <v>2540190</v>
      </c>
      <c r="L11" s="61"/>
      <c r="M11" s="62">
        <v>0</v>
      </c>
      <c r="N11" s="62"/>
      <c r="O11" s="62">
        <f aca="true" t="shared" si="0" ref="O11:O51">Q11-C11-E11-G11-I11-K11-M11</f>
        <v>2666835</v>
      </c>
      <c r="P11" s="62"/>
      <c r="Q11" s="61">
        <v>22703425</v>
      </c>
      <c r="R11" s="13"/>
      <c r="S11" s="13"/>
    </row>
    <row r="12" spans="1:19" s="15" customFormat="1" ht="12">
      <c r="A12" s="13" t="s">
        <v>14</v>
      </c>
      <c r="B12" s="13"/>
      <c r="C12" s="10">
        <f>1889315</f>
        <v>1889315</v>
      </c>
      <c r="D12" s="10"/>
      <c r="E12" s="10">
        <f>4173915</f>
        <v>4173915</v>
      </c>
      <c r="F12" s="10"/>
      <c r="G12" s="10">
        <v>3970</v>
      </c>
      <c r="H12" s="10"/>
      <c r="I12" s="10">
        <v>1660159</v>
      </c>
      <c r="J12" s="10"/>
      <c r="K12" s="10">
        <v>2010589</v>
      </c>
      <c r="L12" s="10"/>
      <c r="M12" s="10">
        <v>0</v>
      </c>
      <c r="N12" s="10"/>
      <c r="O12" s="10">
        <f t="shared" si="0"/>
        <v>1113190</v>
      </c>
      <c r="P12" s="10"/>
      <c r="Q12" s="10">
        <v>10851138</v>
      </c>
      <c r="R12" s="13"/>
      <c r="S12" s="13"/>
    </row>
    <row r="13" spans="1:19" s="15" customFormat="1" ht="12">
      <c r="A13" s="13" t="s">
        <v>15</v>
      </c>
      <c r="B13" s="13"/>
      <c r="C13" s="10">
        <v>3248601</v>
      </c>
      <c r="D13" s="10"/>
      <c r="E13" s="10">
        <v>8727481</v>
      </c>
      <c r="F13" s="10"/>
      <c r="G13" s="10">
        <v>0</v>
      </c>
      <c r="H13" s="10"/>
      <c r="I13" s="10">
        <v>2497332</v>
      </c>
      <c r="J13" s="10"/>
      <c r="K13" s="10">
        <v>3425003</v>
      </c>
      <c r="L13" s="10"/>
      <c r="M13" s="10">
        <v>0</v>
      </c>
      <c r="N13" s="10"/>
      <c r="O13" s="10">
        <f t="shared" si="0"/>
        <v>2162275</v>
      </c>
      <c r="P13" s="10"/>
      <c r="Q13" s="10">
        <v>20060692</v>
      </c>
      <c r="R13" s="13"/>
      <c r="S13" s="13"/>
    </row>
    <row r="14" spans="1:19" s="15" customFormat="1" ht="12">
      <c r="A14" s="13" t="s">
        <v>16</v>
      </c>
      <c r="B14" s="13"/>
      <c r="C14" s="10">
        <v>5472048</v>
      </c>
      <c r="D14" s="10"/>
      <c r="E14" s="10">
        <v>0</v>
      </c>
      <c r="F14" s="10"/>
      <c r="G14" s="10">
        <v>0</v>
      </c>
      <c r="H14" s="10"/>
      <c r="I14" s="10">
        <v>1418926</v>
      </c>
      <c r="J14" s="10"/>
      <c r="K14" s="10">
        <v>1451030</v>
      </c>
      <c r="L14" s="10"/>
      <c r="M14" s="10">
        <v>0</v>
      </c>
      <c r="N14" s="10"/>
      <c r="O14" s="10">
        <f t="shared" si="0"/>
        <v>1825333</v>
      </c>
      <c r="P14" s="10"/>
      <c r="Q14" s="10">
        <v>10167337</v>
      </c>
      <c r="R14" s="13"/>
      <c r="S14" s="13"/>
    </row>
    <row r="15" spans="1:19" s="15" customFormat="1" ht="12">
      <c r="A15" s="13" t="s">
        <v>17</v>
      </c>
      <c r="B15" s="13"/>
      <c r="C15" s="10">
        <v>1895262</v>
      </c>
      <c r="D15" s="10"/>
      <c r="E15" s="10">
        <v>2202298</v>
      </c>
      <c r="F15" s="10"/>
      <c r="G15" s="10">
        <v>0</v>
      </c>
      <c r="H15" s="10"/>
      <c r="I15" s="10">
        <v>1008100</v>
      </c>
      <c r="J15" s="10"/>
      <c r="K15" s="10">
        <v>1323163</v>
      </c>
      <c r="L15" s="10"/>
      <c r="M15" s="10">
        <v>0</v>
      </c>
      <c r="N15" s="10"/>
      <c r="O15" s="10">
        <f t="shared" si="0"/>
        <v>1110008</v>
      </c>
      <c r="P15" s="10"/>
      <c r="Q15" s="10">
        <v>7538831</v>
      </c>
      <c r="R15" s="13"/>
      <c r="S15" s="13"/>
    </row>
    <row r="16" spans="1:19" s="15" customFormat="1" ht="12">
      <c r="A16" s="13" t="s">
        <v>18</v>
      </c>
      <c r="B16" s="13"/>
      <c r="C16" s="10">
        <f>1734592</f>
        <v>1734592</v>
      </c>
      <c r="D16" s="10"/>
      <c r="E16" s="10">
        <v>11455538</v>
      </c>
      <c r="F16" s="10"/>
      <c r="G16" s="10">
        <v>0</v>
      </c>
      <c r="H16" s="10"/>
      <c r="I16" s="10">
        <v>1834677</v>
      </c>
      <c r="J16" s="10"/>
      <c r="K16" s="10">
        <v>2195099</v>
      </c>
      <c r="L16" s="10"/>
      <c r="M16" s="10">
        <v>0</v>
      </c>
      <c r="N16" s="10"/>
      <c r="O16" s="10">
        <f t="shared" si="0"/>
        <v>2041457</v>
      </c>
      <c r="P16" s="10"/>
      <c r="Q16" s="10">
        <v>19261363</v>
      </c>
      <c r="R16" s="13"/>
      <c r="S16" s="13"/>
    </row>
    <row r="17" spans="1:19" s="15" customFormat="1" ht="12">
      <c r="A17" s="13" t="s">
        <v>135</v>
      </c>
      <c r="B17" s="13"/>
      <c r="C17" s="15">
        <f>1878882</f>
        <v>1878882</v>
      </c>
      <c r="E17" s="15">
        <v>2328399</v>
      </c>
      <c r="G17" s="15">
        <v>0</v>
      </c>
      <c r="I17" s="15">
        <v>1582884</v>
      </c>
      <c r="K17" s="15">
        <v>707130</v>
      </c>
      <c r="M17" s="15">
        <v>0</v>
      </c>
      <c r="O17" s="10">
        <f t="shared" si="0"/>
        <v>1397573</v>
      </c>
      <c r="P17" s="10"/>
      <c r="Q17" s="15">
        <v>7894868</v>
      </c>
      <c r="R17" s="13"/>
      <c r="S17" s="13"/>
    </row>
    <row r="18" spans="1:19" s="15" customFormat="1" ht="12">
      <c r="A18" s="13" t="s">
        <v>188</v>
      </c>
      <c r="B18" s="13"/>
      <c r="C18" s="10">
        <v>25897508</v>
      </c>
      <c r="D18" s="10"/>
      <c r="E18" s="10">
        <v>0</v>
      </c>
      <c r="F18" s="10"/>
      <c r="G18" s="10">
        <v>0</v>
      </c>
      <c r="H18" s="10"/>
      <c r="I18" s="10">
        <v>21427356</v>
      </c>
      <c r="J18" s="10"/>
      <c r="K18" s="10">
        <v>10163295</v>
      </c>
      <c r="L18" s="10"/>
      <c r="M18" s="10">
        <v>0</v>
      </c>
      <c r="N18" s="10"/>
      <c r="O18" s="10">
        <f t="shared" si="0"/>
        <v>7081192</v>
      </c>
      <c r="P18" s="10"/>
      <c r="Q18" s="10">
        <v>64569351</v>
      </c>
      <c r="R18" s="13"/>
      <c r="S18" s="13"/>
    </row>
    <row r="19" spans="1:19" s="15" customFormat="1" ht="12">
      <c r="A19" s="13" t="s">
        <v>20</v>
      </c>
      <c r="B19" s="13"/>
      <c r="C19" s="10">
        <f>1306878</f>
        <v>1306878</v>
      </c>
      <c r="D19" s="10"/>
      <c r="E19" s="10">
        <v>1581708</v>
      </c>
      <c r="F19" s="10"/>
      <c r="G19" s="10">
        <v>0</v>
      </c>
      <c r="H19" s="10"/>
      <c r="I19" s="10">
        <v>996992</v>
      </c>
      <c r="J19" s="10"/>
      <c r="K19" s="10">
        <v>746388</v>
      </c>
      <c r="L19" s="10"/>
      <c r="M19" s="10">
        <v>0</v>
      </c>
      <c r="N19" s="10"/>
      <c r="O19" s="10">
        <f t="shared" si="0"/>
        <v>615004</v>
      </c>
      <c r="P19" s="10"/>
      <c r="Q19" s="10">
        <v>5246970</v>
      </c>
      <c r="R19" s="13"/>
      <c r="S19" s="13"/>
    </row>
    <row r="20" spans="1:19" s="15" customFormat="1" ht="12" hidden="1">
      <c r="A20" s="13" t="s">
        <v>176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"/>
      <c r="S20" s="13"/>
    </row>
    <row r="21" spans="1:19" s="15" customFormat="1" ht="12">
      <c r="A21" s="13" t="s">
        <v>21</v>
      </c>
      <c r="B21" s="13"/>
      <c r="C21" s="10">
        <v>3177882</v>
      </c>
      <c r="D21" s="10"/>
      <c r="E21" s="10">
        <v>17727306</v>
      </c>
      <c r="F21" s="10"/>
      <c r="G21" s="10">
        <v>0</v>
      </c>
      <c r="H21" s="10"/>
      <c r="I21" s="10">
        <v>4161161</v>
      </c>
      <c r="J21" s="10"/>
      <c r="K21" s="10">
        <v>4553536</v>
      </c>
      <c r="L21" s="10"/>
      <c r="M21" s="10">
        <v>0</v>
      </c>
      <c r="N21" s="10"/>
      <c r="O21" s="10">
        <f t="shared" si="0"/>
        <v>4180794</v>
      </c>
      <c r="P21" s="10"/>
      <c r="Q21" s="10">
        <v>33800679</v>
      </c>
      <c r="R21" s="13"/>
      <c r="S21" s="13"/>
    </row>
    <row r="22" spans="1:19" s="15" customFormat="1" ht="12">
      <c r="A22" s="13" t="s">
        <v>194</v>
      </c>
      <c r="B22" s="13"/>
      <c r="C22" s="10">
        <f>26471923-19513566</f>
        <v>6958357</v>
      </c>
      <c r="D22" s="10"/>
      <c r="E22" s="10">
        <v>19513566</v>
      </c>
      <c r="F22" s="10"/>
      <c r="G22" s="10">
        <v>0</v>
      </c>
      <c r="H22" s="10"/>
      <c r="I22" s="10">
        <v>10870492</v>
      </c>
      <c r="J22" s="10"/>
      <c r="K22" s="10">
        <v>3827534</v>
      </c>
      <c r="L22" s="10"/>
      <c r="M22" s="10">
        <v>0</v>
      </c>
      <c r="N22" s="10"/>
      <c r="O22" s="10">
        <f t="shared" si="0"/>
        <v>6902970</v>
      </c>
      <c r="P22" s="10"/>
      <c r="Q22" s="10">
        <v>48072919</v>
      </c>
      <c r="R22" s="13"/>
      <c r="S22" s="13"/>
    </row>
    <row r="23" spans="1:19" s="15" customFormat="1" ht="12">
      <c r="A23" s="13" t="s">
        <v>23</v>
      </c>
      <c r="B23" s="13"/>
      <c r="C23" s="10">
        <v>1267260</v>
      </c>
      <c r="D23" s="10"/>
      <c r="E23" s="10">
        <v>3941549</v>
      </c>
      <c r="F23" s="10"/>
      <c r="G23" s="10">
        <v>0</v>
      </c>
      <c r="H23" s="10"/>
      <c r="I23" s="10">
        <v>1882630</v>
      </c>
      <c r="J23" s="10"/>
      <c r="K23" s="10">
        <v>1510628</v>
      </c>
      <c r="L23" s="10"/>
      <c r="M23" s="10">
        <v>0</v>
      </c>
      <c r="N23" s="10"/>
      <c r="O23" s="10">
        <f t="shared" si="0"/>
        <v>1547916</v>
      </c>
      <c r="P23" s="10"/>
      <c r="Q23" s="10">
        <v>10149983</v>
      </c>
      <c r="R23" s="13"/>
      <c r="S23" s="13"/>
    </row>
    <row r="24" spans="1:19" s="15" customFormat="1" ht="12">
      <c r="A24" s="13" t="s">
        <v>193</v>
      </c>
      <c r="B24" s="13"/>
      <c r="C24" s="10">
        <v>7979444</v>
      </c>
      <c r="D24" s="10"/>
      <c r="E24" s="10">
        <v>0</v>
      </c>
      <c r="F24" s="10"/>
      <c r="G24" s="10">
        <v>0</v>
      </c>
      <c r="H24" s="10"/>
      <c r="I24" s="10">
        <v>2574122</v>
      </c>
      <c r="J24" s="10"/>
      <c r="K24" s="10">
        <v>2379351</v>
      </c>
      <c r="L24" s="10"/>
      <c r="M24" s="10">
        <v>0</v>
      </c>
      <c r="N24" s="10"/>
      <c r="O24" s="10">
        <f t="shared" si="0"/>
        <v>1571325</v>
      </c>
      <c r="P24" s="10"/>
      <c r="Q24" s="10">
        <v>14504242</v>
      </c>
      <c r="R24" s="13"/>
      <c r="S24" s="13"/>
    </row>
    <row r="25" spans="1:19" s="15" customFormat="1" ht="12" hidden="1">
      <c r="A25" s="13" t="s">
        <v>25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f t="shared" si="0"/>
        <v>0</v>
      </c>
      <c r="P25" s="10"/>
      <c r="Q25" s="10"/>
      <c r="R25" s="13"/>
      <c r="S25" s="13"/>
    </row>
    <row r="26" spans="1:19" s="15" customFormat="1" ht="12">
      <c r="A26" s="13" t="s">
        <v>192</v>
      </c>
      <c r="B26" s="13"/>
      <c r="C26" s="10">
        <v>1295424</v>
      </c>
      <c r="D26" s="10"/>
      <c r="E26" s="10">
        <v>3102536</v>
      </c>
      <c r="F26" s="10"/>
      <c r="G26" s="10">
        <v>0</v>
      </c>
      <c r="H26" s="10"/>
      <c r="I26" s="10">
        <v>1698473</v>
      </c>
      <c r="J26" s="10"/>
      <c r="K26" s="10">
        <v>1441176</v>
      </c>
      <c r="L26" s="10"/>
      <c r="M26" s="10">
        <v>0</v>
      </c>
      <c r="N26" s="10"/>
      <c r="O26" s="10">
        <f t="shared" si="0"/>
        <v>1006777</v>
      </c>
      <c r="P26" s="10"/>
      <c r="Q26" s="10">
        <v>8544386</v>
      </c>
      <c r="R26" s="13"/>
      <c r="S26" s="13"/>
    </row>
    <row r="27" spans="1:19" s="15" customFormat="1" ht="12">
      <c r="A27" s="13" t="s">
        <v>26</v>
      </c>
      <c r="B27" s="13"/>
      <c r="C27" s="10">
        <v>20983000</v>
      </c>
      <c r="D27" s="10"/>
      <c r="E27" s="10">
        <v>156713000</v>
      </c>
      <c r="F27" s="10"/>
      <c r="G27" s="10">
        <v>7000</v>
      </c>
      <c r="H27" s="10"/>
      <c r="I27" s="15">
        <f>60328000</f>
        <v>60328000</v>
      </c>
      <c r="K27" s="10">
        <f>38988000+12220000</f>
        <v>51208000</v>
      </c>
      <c r="L27" s="10"/>
      <c r="M27" s="10">
        <v>0</v>
      </c>
      <c r="N27" s="10"/>
      <c r="O27" s="10">
        <f t="shared" si="0"/>
        <v>40303000</v>
      </c>
      <c r="P27" s="10"/>
      <c r="Q27" s="10">
        <v>329542000</v>
      </c>
      <c r="R27" s="13"/>
      <c r="S27" s="13"/>
    </row>
    <row r="28" spans="1:19" s="15" customFormat="1" ht="12">
      <c r="A28" s="13" t="s">
        <v>27</v>
      </c>
      <c r="B28" s="13"/>
      <c r="C28" s="10">
        <v>6608767</v>
      </c>
      <c r="D28" s="10"/>
      <c r="E28" s="10">
        <v>0</v>
      </c>
      <c r="F28" s="10"/>
      <c r="G28" s="10">
        <v>0</v>
      </c>
      <c r="H28" s="10"/>
      <c r="I28" s="10">
        <v>1287756</v>
      </c>
      <c r="J28" s="10"/>
      <c r="K28" s="10">
        <v>1405330</v>
      </c>
      <c r="L28" s="10"/>
      <c r="M28" s="10">
        <v>0</v>
      </c>
      <c r="N28" s="10"/>
      <c r="O28" s="10">
        <f t="shared" si="0"/>
        <v>1198353</v>
      </c>
      <c r="P28" s="10"/>
      <c r="Q28" s="10">
        <v>10500206</v>
      </c>
      <c r="R28" s="13"/>
      <c r="S28" s="13"/>
    </row>
    <row r="29" spans="1:19" s="15" customFormat="1" ht="12">
      <c r="A29" s="13" t="s">
        <v>28</v>
      </c>
      <c r="B29" s="13"/>
      <c r="C29" s="10">
        <v>1609066</v>
      </c>
      <c r="D29" s="10"/>
      <c r="E29" s="10">
        <v>4658544</v>
      </c>
      <c r="F29" s="10"/>
      <c r="G29" s="10">
        <v>0</v>
      </c>
      <c r="H29" s="10"/>
      <c r="I29" s="10">
        <v>1204672</v>
      </c>
      <c r="J29" s="10"/>
      <c r="K29" s="10">
        <v>1139683</v>
      </c>
      <c r="L29" s="10"/>
      <c r="M29" s="10">
        <v>0</v>
      </c>
      <c r="N29" s="10"/>
      <c r="O29" s="10">
        <f t="shared" si="0"/>
        <v>2320771</v>
      </c>
      <c r="P29" s="10"/>
      <c r="Q29" s="10">
        <v>10932736</v>
      </c>
      <c r="R29" s="13"/>
      <c r="S29" s="13"/>
    </row>
    <row r="30" spans="1:19" s="15" customFormat="1" ht="12">
      <c r="A30" s="13" t="s">
        <v>29</v>
      </c>
      <c r="B30" s="13"/>
      <c r="C30" s="10">
        <f>3451574</f>
        <v>3451574</v>
      </c>
      <c r="D30" s="10"/>
      <c r="E30" s="10">
        <v>15641752</v>
      </c>
      <c r="F30" s="10"/>
      <c r="G30" s="10">
        <v>0</v>
      </c>
      <c r="H30" s="10"/>
      <c r="I30" s="10">
        <v>8364193</v>
      </c>
      <c r="J30" s="10"/>
      <c r="K30" s="10">
        <v>3425127</v>
      </c>
      <c r="L30" s="10"/>
      <c r="M30" s="10">
        <v>0</v>
      </c>
      <c r="N30" s="10"/>
      <c r="O30" s="10">
        <f t="shared" si="0"/>
        <v>6114404</v>
      </c>
      <c r="P30" s="10"/>
      <c r="Q30" s="10">
        <v>36997050</v>
      </c>
      <c r="R30" s="13"/>
      <c r="S30" s="13"/>
    </row>
    <row r="31" spans="1:19" s="15" customFormat="1" ht="12">
      <c r="A31" s="13" t="s">
        <v>30</v>
      </c>
      <c r="B31" s="13"/>
      <c r="C31" s="10">
        <v>4433498</v>
      </c>
      <c r="D31" s="10"/>
      <c r="E31" s="10">
        <v>10801348</v>
      </c>
      <c r="F31" s="10"/>
      <c r="G31" s="10">
        <v>0</v>
      </c>
      <c r="H31" s="10"/>
      <c r="I31" s="10">
        <v>1435962</v>
      </c>
      <c r="J31" s="10"/>
      <c r="K31" s="10">
        <v>3393116</v>
      </c>
      <c r="L31" s="10"/>
      <c r="M31" s="10">
        <v>424758</v>
      </c>
      <c r="N31" s="10"/>
      <c r="O31" s="10">
        <f t="shared" si="0"/>
        <v>3323505</v>
      </c>
      <c r="P31" s="10"/>
      <c r="Q31" s="10">
        <v>23812187</v>
      </c>
      <c r="R31" s="13"/>
      <c r="S31" s="13"/>
    </row>
    <row r="32" spans="1:19" s="15" customFormat="1" ht="12">
      <c r="A32" s="13" t="s">
        <v>31</v>
      </c>
      <c r="B32" s="13"/>
      <c r="C32" s="10">
        <v>6196214</v>
      </c>
      <c r="D32" s="10"/>
      <c r="E32" s="10">
        <v>9988804</v>
      </c>
      <c r="F32" s="10"/>
      <c r="G32" s="10">
        <v>0</v>
      </c>
      <c r="H32" s="10"/>
      <c r="I32" s="10">
        <v>3494849</v>
      </c>
      <c r="J32" s="10"/>
      <c r="K32" s="10">
        <v>3865766</v>
      </c>
      <c r="L32" s="10"/>
      <c r="M32" s="10">
        <v>0</v>
      </c>
      <c r="N32" s="10"/>
      <c r="O32" s="10">
        <f t="shared" si="0"/>
        <v>2544032</v>
      </c>
      <c r="P32" s="10"/>
      <c r="Q32" s="10">
        <v>26089665</v>
      </c>
      <c r="R32" s="13"/>
      <c r="S32" s="13"/>
    </row>
    <row r="33" spans="1:19" s="15" customFormat="1" ht="12">
      <c r="A33" s="13" t="s">
        <v>32</v>
      </c>
      <c r="B33" s="13"/>
      <c r="C33" s="10">
        <v>1351113</v>
      </c>
      <c r="D33" s="10"/>
      <c r="E33" s="10">
        <v>4237478</v>
      </c>
      <c r="F33" s="10"/>
      <c r="G33" s="10">
        <v>0</v>
      </c>
      <c r="H33" s="10"/>
      <c r="I33" s="10">
        <v>1846509</v>
      </c>
      <c r="J33" s="10"/>
      <c r="K33" s="10">
        <v>608879</v>
      </c>
      <c r="L33" s="10"/>
      <c r="M33" s="10">
        <v>0</v>
      </c>
      <c r="N33" s="10"/>
      <c r="O33" s="10">
        <f t="shared" si="0"/>
        <v>618492</v>
      </c>
      <c r="P33" s="10"/>
      <c r="Q33" s="10">
        <v>8662471</v>
      </c>
      <c r="R33" s="13"/>
      <c r="S33" s="13"/>
    </row>
    <row r="34" spans="1:19" s="15" customFormat="1" ht="12">
      <c r="A34" s="13" t="s">
        <v>33</v>
      </c>
      <c r="B34" s="13"/>
      <c r="C34" s="15">
        <v>34993000</v>
      </c>
      <c r="E34" s="10">
        <v>79622000</v>
      </c>
      <c r="F34" s="10"/>
      <c r="G34" s="10">
        <v>0</v>
      </c>
      <c r="H34" s="10"/>
      <c r="I34" s="10">
        <v>48282000</v>
      </c>
      <c r="J34" s="10"/>
      <c r="K34" s="10">
        <v>37194000</v>
      </c>
      <c r="L34" s="10"/>
      <c r="M34" s="10">
        <v>0</v>
      </c>
      <c r="N34" s="10"/>
      <c r="O34" s="10">
        <f t="shared" si="0"/>
        <v>29358000</v>
      </c>
      <c r="P34" s="10"/>
      <c r="Q34" s="10">
        <v>229449000</v>
      </c>
      <c r="R34" s="13"/>
      <c r="S34" s="13"/>
    </row>
    <row r="35" spans="1:19" s="15" customFormat="1" ht="12">
      <c r="A35" s="13" t="s">
        <v>34</v>
      </c>
      <c r="B35" s="13"/>
      <c r="C35" s="10">
        <f>1372326</f>
        <v>1372326</v>
      </c>
      <c r="D35" s="10"/>
      <c r="E35" s="10">
        <v>3900823</v>
      </c>
      <c r="F35" s="10"/>
      <c r="G35" s="10">
        <v>0</v>
      </c>
      <c r="H35" s="10"/>
      <c r="I35" s="10">
        <v>1569779</v>
      </c>
      <c r="J35" s="10"/>
      <c r="K35" s="10">
        <v>1963959</v>
      </c>
      <c r="L35" s="10"/>
      <c r="M35" s="10">
        <v>0</v>
      </c>
      <c r="N35" s="10"/>
      <c r="O35" s="10">
        <f t="shared" si="0"/>
        <v>2095502</v>
      </c>
      <c r="P35" s="10"/>
      <c r="Q35" s="10">
        <v>10902389</v>
      </c>
      <c r="R35" s="13"/>
      <c r="S35" s="13"/>
    </row>
    <row r="36" spans="1:19" s="15" customFormat="1" ht="12">
      <c r="A36" s="13" t="s">
        <v>35</v>
      </c>
      <c r="B36" s="13"/>
      <c r="C36" s="10">
        <v>4862899</v>
      </c>
      <c r="D36" s="10"/>
      <c r="E36" s="10">
        <v>0</v>
      </c>
      <c r="F36" s="10"/>
      <c r="G36" s="10">
        <v>0</v>
      </c>
      <c r="H36" s="10"/>
      <c r="I36" s="10">
        <v>881145</v>
      </c>
      <c r="J36" s="10"/>
      <c r="K36" s="10">
        <v>182881</v>
      </c>
      <c r="L36" s="10"/>
      <c r="M36" s="10">
        <v>0</v>
      </c>
      <c r="N36" s="10"/>
      <c r="O36" s="10">
        <f t="shared" si="0"/>
        <v>582274</v>
      </c>
      <c r="P36" s="10"/>
      <c r="Q36" s="10">
        <v>6509199</v>
      </c>
      <c r="R36" s="13"/>
      <c r="S36" s="13"/>
    </row>
    <row r="37" spans="1:19" s="15" customFormat="1" ht="12">
      <c r="A37" s="13" t="s">
        <v>36</v>
      </c>
      <c r="B37" s="13"/>
      <c r="C37" s="10">
        <f>5789836</f>
        <v>5789836</v>
      </c>
      <c r="D37" s="10"/>
      <c r="E37" s="10">
        <v>4378012</v>
      </c>
      <c r="F37" s="10"/>
      <c r="G37" s="10">
        <v>0</v>
      </c>
      <c r="H37" s="10"/>
      <c r="I37" s="10">
        <v>33178723</v>
      </c>
      <c r="J37" s="10"/>
      <c r="K37" s="10">
        <v>1889873</v>
      </c>
      <c r="L37" s="10"/>
      <c r="M37" s="10">
        <v>0</v>
      </c>
      <c r="N37" s="10"/>
      <c r="O37" s="10">
        <f t="shared" si="0"/>
        <v>-27754162</v>
      </c>
      <c r="P37" s="10"/>
      <c r="Q37" s="10">
        <v>17482282</v>
      </c>
      <c r="R37" s="13"/>
      <c r="S37" s="13"/>
    </row>
    <row r="38" spans="1:19" s="15" customFormat="1" ht="12">
      <c r="A38" s="13" t="s">
        <v>195</v>
      </c>
      <c r="B38" s="13"/>
      <c r="C38" s="10">
        <v>24166102</v>
      </c>
      <c r="D38" s="10"/>
      <c r="E38" s="10">
        <v>0</v>
      </c>
      <c r="F38" s="10"/>
      <c r="G38" s="10">
        <v>0</v>
      </c>
      <c r="H38" s="10"/>
      <c r="I38" s="10">
        <v>4321065</v>
      </c>
      <c r="J38" s="10"/>
      <c r="K38" s="10">
        <v>5133626</v>
      </c>
      <c r="L38" s="10"/>
      <c r="M38" s="10">
        <v>5314</v>
      </c>
      <c r="N38" s="10"/>
      <c r="O38" s="10">
        <f t="shared" si="0"/>
        <v>4155457</v>
      </c>
      <c r="P38" s="10"/>
      <c r="Q38" s="10">
        <v>37781564</v>
      </c>
      <c r="R38" s="13"/>
      <c r="S38" s="13"/>
    </row>
    <row r="39" spans="1:19" s="15" customFormat="1" ht="12">
      <c r="A39" s="13" t="s">
        <v>37</v>
      </c>
      <c r="B39" s="13"/>
      <c r="C39" s="10">
        <v>1167024</v>
      </c>
      <c r="D39" s="10"/>
      <c r="E39" s="10">
        <v>4752303</v>
      </c>
      <c r="F39" s="10"/>
      <c r="G39" s="10">
        <v>0</v>
      </c>
      <c r="H39" s="10"/>
      <c r="I39" s="10">
        <v>2089234</v>
      </c>
      <c r="J39" s="10"/>
      <c r="K39" s="10">
        <v>1508717</v>
      </c>
      <c r="L39" s="10"/>
      <c r="M39" s="10">
        <v>0</v>
      </c>
      <c r="N39" s="10"/>
      <c r="O39" s="10">
        <f t="shared" si="0"/>
        <v>1111327</v>
      </c>
      <c r="P39" s="10"/>
      <c r="Q39" s="10">
        <v>10628605</v>
      </c>
      <c r="R39" s="13"/>
      <c r="S39" s="13"/>
    </row>
    <row r="40" spans="1:19" s="15" customFormat="1" ht="12">
      <c r="A40" s="13" t="s">
        <v>38</v>
      </c>
      <c r="B40" s="13"/>
      <c r="C40" s="10">
        <f>34300000</f>
        <v>34300000</v>
      </c>
      <c r="D40" s="10"/>
      <c r="E40" s="10">
        <v>60007000</v>
      </c>
      <c r="F40" s="10"/>
      <c r="G40" s="10">
        <v>0</v>
      </c>
      <c r="H40" s="10"/>
      <c r="I40" s="10">
        <v>57877000</v>
      </c>
      <c r="J40" s="10"/>
      <c r="K40" s="10">
        <f>25611000+24167000</f>
        <v>49778000</v>
      </c>
      <c r="L40" s="10"/>
      <c r="M40" s="10">
        <v>0</v>
      </c>
      <c r="N40" s="10"/>
      <c r="O40" s="10">
        <f t="shared" si="0"/>
        <v>41493000</v>
      </c>
      <c r="P40" s="10"/>
      <c r="Q40" s="10">
        <v>243455000</v>
      </c>
      <c r="R40" s="13"/>
      <c r="S40" s="13"/>
    </row>
    <row r="41" spans="1:19" s="15" customFormat="1" ht="12">
      <c r="A41" s="13" t="s">
        <v>39</v>
      </c>
      <c r="B41" s="13"/>
      <c r="C41" s="10">
        <v>1228196</v>
      </c>
      <c r="D41" s="10"/>
      <c r="E41" s="10">
        <v>4934225</v>
      </c>
      <c r="F41" s="10"/>
      <c r="G41" s="10">
        <v>0</v>
      </c>
      <c r="H41" s="10"/>
      <c r="I41" s="10">
        <v>3617303</v>
      </c>
      <c r="J41" s="10"/>
      <c r="K41" s="10">
        <v>2876033</v>
      </c>
      <c r="L41" s="10"/>
      <c r="M41" s="10">
        <v>0</v>
      </c>
      <c r="N41" s="10"/>
      <c r="O41" s="10">
        <f t="shared" si="0"/>
        <v>866363</v>
      </c>
      <c r="P41" s="10"/>
      <c r="Q41" s="10">
        <v>13522120</v>
      </c>
      <c r="R41" s="13"/>
      <c r="S41" s="13"/>
    </row>
    <row r="42" spans="1:19" s="15" customFormat="1" ht="12" hidden="1">
      <c r="A42" s="13" t="s">
        <v>169</v>
      </c>
      <c r="B42" s="13"/>
      <c r="C42" s="10">
        <v>986336</v>
      </c>
      <c r="D42" s="10"/>
      <c r="E42" s="10">
        <v>2013117</v>
      </c>
      <c r="F42" s="10"/>
      <c r="G42" s="10">
        <v>0</v>
      </c>
      <c r="H42" s="10"/>
      <c r="I42" s="10">
        <v>773058</v>
      </c>
      <c r="J42" s="10"/>
      <c r="K42" s="10">
        <v>1032474</v>
      </c>
      <c r="L42" s="10"/>
      <c r="M42" s="10">
        <v>0</v>
      </c>
      <c r="N42" s="10"/>
      <c r="O42" s="10">
        <f t="shared" si="0"/>
        <v>962312</v>
      </c>
      <c r="P42" s="10"/>
      <c r="Q42" s="10">
        <v>5767297</v>
      </c>
      <c r="R42" s="13"/>
      <c r="S42" s="13"/>
    </row>
    <row r="43" spans="1:19" s="15" customFormat="1" ht="12" hidden="1">
      <c r="A43" s="13" t="s">
        <v>40</v>
      </c>
      <c r="B43" s="13"/>
      <c r="C43" s="10">
        <v>1605269</v>
      </c>
      <c r="D43" s="10"/>
      <c r="E43" s="10">
        <v>0</v>
      </c>
      <c r="F43" s="10"/>
      <c r="G43" s="10">
        <v>0</v>
      </c>
      <c r="H43" s="10"/>
      <c r="I43" s="10">
        <v>330626</v>
      </c>
      <c r="J43" s="10"/>
      <c r="K43" s="10">
        <v>339172</v>
      </c>
      <c r="L43" s="10"/>
      <c r="M43" s="10">
        <v>0</v>
      </c>
      <c r="N43" s="10"/>
      <c r="O43" s="10">
        <f t="shared" si="0"/>
        <v>420231</v>
      </c>
      <c r="P43" s="10"/>
      <c r="Q43" s="10">
        <v>2695298</v>
      </c>
      <c r="R43" s="13"/>
      <c r="S43" s="13"/>
    </row>
    <row r="44" spans="1:19" s="15" customFormat="1" ht="12">
      <c r="A44" s="13" t="s">
        <v>41</v>
      </c>
      <c r="B44" s="13"/>
      <c r="C44" s="10">
        <f>1787433</f>
        <v>1787433</v>
      </c>
      <c r="D44" s="10"/>
      <c r="E44" s="10">
        <v>2256856</v>
      </c>
      <c r="F44" s="10"/>
      <c r="G44" s="10">
        <v>0</v>
      </c>
      <c r="H44" s="10"/>
      <c r="I44" s="10">
        <v>92506</v>
      </c>
      <c r="J44" s="10"/>
      <c r="K44" s="10">
        <v>1025106</v>
      </c>
      <c r="L44" s="10"/>
      <c r="M44" s="10">
        <v>0</v>
      </c>
      <c r="N44" s="10"/>
      <c r="O44" s="10">
        <f t="shared" si="0"/>
        <v>1615367</v>
      </c>
      <c r="P44" s="10"/>
      <c r="Q44" s="10">
        <v>6777268</v>
      </c>
      <c r="R44" s="13"/>
      <c r="S44" s="13"/>
    </row>
    <row r="45" spans="1:19" s="15" customFormat="1" ht="12" hidden="1">
      <c r="A45" s="13" t="s">
        <v>42</v>
      </c>
      <c r="B45" s="13"/>
      <c r="C45" s="10">
        <v>4096068</v>
      </c>
      <c r="D45" s="10"/>
      <c r="E45" s="10">
        <v>0</v>
      </c>
      <c r="F45" s="10"/>
      <c r="G45" s="10">
        <v>0</v>
      </c>
      <c r="H45" s="10"/>
      <c r="I45" s="10">
        <v>1283015</v>
      </c>
      <c r="J45" s="10"/>
      <c r="K45" s="10">
        <v>1161682</v>
      </c>
      <c r="L45" s="10"/>
      <c r="M45" s="10"/>
      <c r="N45" s="10"/>
      <c r="O45" s="10">
        <f t="shared" si="0"/>
        <v>418132</v>
      </c>
      <c r="P45" s="10"/>
      <c r="Q45" s="10">
        <v>6958897</v>
      </c>
      <c r="R45" s="13"/>
      <c r="S45" s="13"/>
    </row>
    <row r="46" spans="1:19" s="15" customFormat="1" ht="12">
      <c r="A46" s="13" t="s">
        <v>43</v>
      </c>
      <c r="B46" s="13"/>
      <c r="C46" s="10">
        <v>3371702</v>
      </c>
      <c r="D46" s="10"/>
      <c r="E46" s="10">
        <v>0</v>
      </c>
      <c r="F46" s="10"/>
      <c r="G46" s="10">
        <v>0</v>
      </c>
      <c r="H46" s="10"/>
      <c r="I46" s="10">
        <v>886408</v>
      </c>
      <c r="J46" s="10"/>
      <c r="K46" s="10">
        <v>819768</v>
      </c>
      <c r="L46" s="10"/>
      <c r="M46" s="10">
        <v>0</v>
      </c>
      <c r="N46" s="10"/>
      <c r="O46" s="10">
        <f t="shared" si="0"/>
        <v>457815</v>
      </c>
      <c r="P46" s="10"/>
      <c r="Q46" s="10">
        <v>5535693</v>
      </c>
      <c r="R46" s="13"/>
      <c r="S46" s="13"/>
    </row>
    <row r="47" spans="1:19" s="15" customFormat="1" ht="12">
      <c r="A47" s="13" t="s">
        <v>44</v>
      </c>
      <c r="B47" s="13"/>
      <c r="C47" s="10">
        <v>1872851</v>
      </c>
      <c r="D47" s="10"/>
      <c r="E47" s="10">
        <v>3329836</v>
      </c>
      <c r="F47" s="10"/>
      <c r="G47" s="10">
        <v>0</v>
      </c>
      <c r="H47" s="10"/>
      <c r="I47" s="10">
        <v>1655801</v>
      </c>
      <c r="J47" s="10"/>
      <c r="K47" s="10">
        <v>1021152</v>
      </c>
      <c r="L47" s="10"/>
      <c r="M47" s="10">
        <v>0</v>
      </c>
      <c r="N47" s="10"/>
      <c r="O47" s="10">
        <f t="shared" si="0"/>
        <v>1024710</v>
      </c>
      <c r="P47" s="10"/>
      <c r="Q47" s="10">
        <v>8904350</v>
      </c>
      <c r="R47" s="13"/>
      <c r="S47" s="13"/>
    </row>
    <row r="48" spans="1:19" s="15" customFormat="1" ht="12">
      <c r="A48" s="13" t="s">
        <v>45</v>
      </c>
      <c r="B48" s="13"/>
      <c r="C48" s="10">
        <v>9018206</v>
      </c>
      <c r="D48" s="10"/>
      <c r="E48" s="10">
        <v>0</v>
      </c>
      <c r="F48" s="10"/>
      <c r="G48" s="10">
        <v>0</v>
      </c>
      <c r="H48" s="10"/>
      <c r="I48" s="10">
        <v>1174446</v>
      </c>
      <c r="J48" s="10"/>
      <c r="K48" s="10">
        <v>1474580</v>
      </c>
      <c r="L48" s="10"/>
      <c r="M48" s="10">
        <v>0</v>
      </c>
      <c r="N48" s="10"/>
      <c r="O48" s="10">
        <f t="shared" si="0"/>
        <v>1385093</v>
      </c>
      <c r="P48" s="10"/>
      <c r="Q48" s="10">
        <v>13052325</v>
      </c>
      <c r="R48" s="13"/>
      <c r="S48" s="13"/>
    </row>
    <row r="49" spans="1:19" s="15" customFormat="1" ht="12">
      <c r="A49" s="13" t="s">
        <v>46</v>
      </c>
      <c r="B49" s="13"/>
      <c r="C49" s="10">
        <v>2549993</v>
      </c>
      <c r="D49" s="10"/>
      <c r="E49" s="10">
        <v>0</v>
      </c>
      <c r="F49" s="10"/>
      <c r="G49" s="10">
        <v>0</v>
      </c>
      <c r="H49" s="10"/>
      <c r="I49" s="10">
        <v>742611</v>
      </c>
      <c r="J49" s="10"/>
      <c r="K49" s="10">
        <v>872438</v>
      </c>
      <c r="L49" s="10"/>
      <c r="M49" s="10">
        <v>0</v>
      </c>
      <c r="N49" s="10"/>
      <c r="O49" s="10">
        <f t="shared" si="0"/>
        <v>844274</v>
      </c>
      <c r="P49" s="10"/>
      <c r="Q49" s="10">
        <v>5009316</v>
      </c>
      <c r="R49" s="13"/>
      <c r="S49" s="13"/>
    </row>
    <row r="50" spans="1:19" s="15" customFormat="1" ht="12">
      <c r="A50" s="13" t="s">
        <v>47</v>
      </c>
      <c r="B50" s="13"/>
      <c r="C50" s="10">
        <f>2141619</f>
        <v>2141619</v>
      </c>
      <c r="D50" s="10"/>
      <c r="E50" s="10">
        <v>3975249</v>
      </c>
      <c r="F50" s="10"/>
      <c r="G50" s="10">
        <v>0</v>
      </c>
      <c r="H50" s="10"/>
      <c r="I50" s="10">
        <v>2226229</v>
      </c>
      <c r="J50" s="10"/>
      <c r="K50" s="10">
        <v>2393304</v>
      </c>
      <c r="L50" s="10"/>
      <c r="M50" s="10">
        <v>0</v>
      </c>
      <c r="N50" s="10"/>
      <c r="O50" s="10">
        <f>Q50-C50-E50-G50-I50-K50-M50</f>
        <v>1037274</v>
      </c>
      <c r="P50" s="10"/>
      <c r="Q50" s="10">
        <v>11773675</v>
      </c>
      <c r="R50" s="13"/>
      <c r="S50" s="13"/>
    </row>
    <row r="51" spans="1:19" s="15" customFormat="1" ht="12">
      <c r="A51" s="13" t="s">
        <v>48</v>
      </c>
      <c r="B51" s="13"/>
      <c r="C51" s="10">
        <f>5906936-3210143</f>
        <v>2696793</v>
      </c>
      <c r="D51" s="10"/>
      <c r="E51" s="10">
        <v>3210143</v>
      </c>
      <c r="F51" s="10"/>
      <c r="G51" s="10">
        <v>0</v>
      </c>
      <c r="H51" s="10"/>
      <c r="I51" s="10">
        <v>1918975</v>
      </c>
      <c r="J51" s="10"/>
      <c r="K51" s="10">
        <v>1568185</v>
      </c>
      <c r="L51" s="10"/>
      <c r="M51" s="10">
        <v>0</v>
      </c>
      <c r="N51" s="10"/>
      <c r="O51" s="10">
        <f t="shared" si="0"/>
        <v>801854</v>
      </c>
      <c r="P51" s="10"/>
      <c r="Q51" s="10">
        <v>10195950</v>
      </c>
      <c r="R51" s="13"/>
      <c r="S51" s="13"/>
    </row>
    <row r="52" spans="1:19" s="15" customFormat="1" ht="12">
      <c r="A52" s="13" t="s">
        <v>49</v>
      </c>
      <c r="B52" s="13"/>
      <c r="C52" s="10">
        <v>10034498</v>
      </c>
      <c r="D52" s="10"/>
      <c r="E52" s="10">
        <v>14466920</v>
      </c>
      <c r="F52" s="10"/>
      <c r="G52" s="10">
        <v>3305872</v>
      </c>
      <c r="H52" s="10"/>
      <c r="I52" s="10">
        <v>8132045</v>
      </c>
      <c r="J52" s="10"/>
      <c r="K52" s="10">
        <v>5021797</v>
      </c>
      <c r="L52" s="10"/>
      <c r="M52" s="10">
        <v>0</v>
      </c>
      <c r="N52" s="10"/>
      <c r="O52" s="10">
        <f>Q52-C52-E52-G52-I52-K52-M52</f>
        <v>5502608</v>
      </c>
      <c r="P52" s="10"/>
      <c r="Q52" s="10">
        <v>46463740</v>
      </c>
      <c r="R52" s="13"/>
      <c r="S52" s="13"/>
    </row>
    <row r="53" spans="1:19" s="15" customFormat="1" ht="12" hidden="1">
      <c r="A53" s="13" t="s">
        <v>171</v>
      </c>
      <c r="B53" s="13"/>
      <c r="C53" s="10">
        <v>8010949</v>
      </c>
      <c r="D53" s="10"/>
      <c r="E53" s="10">
        <v>0</v>
      </c>
      <c r="F53" s="10"/>
      <c r="G53" s="10">
        <v>0</v>
      </c>
      <c r="H53" s="10"/>
      <c r="I53" s="10">
        <v>982185</v>
      </c>
      <c r="J53" s="10"/>
      <c r="K53" s="10">
        <v>1811396</v>
      </c>
      <c r="L53" s="10"/>
      <c r="M53" s="10">
        <v>0</v>
      </c>
      <c r="N53" s="10"/>
      <c r="O53" s="10">
        <f aca="true" t="shared" si="1" ref="O53:O101">Q53-C53-E53-G53-I53-K53-M53</f>
        <v>1697459</v>
      </c>
      <c r="P53" s="10"/>
      <c r="Q53" s="10">
        <v>12501989</v>
      </c>
      <c r="R53" s="13"/>
      <c r="S53" s="13"/>
    </row>
    <row r="54" spans="1:19" s="15" customFormat="1" ht="12">
      <c r="A54" s="13" t="s">
        <v>50</v>
      </c>
      <c r="B54" s="13"/>
      <c r="C54" s="10">
        <v>20498350</v>
      </c>
      <c r="D54" s="10"/>
      <c r="E54" s="10">
        <v>0</v>
      </c>
      <c r="F54" s="10"/>
      <c r="G54" s="10">
        <v>0</v>
      </c>
      <c r="H54" s="10"/>
      <c r="I54" s="10">
        <v>4735855</v>
      </c>
      <c r="J54" s="10"/>
      <c r="K54" s="10">
        <v>4591740</v>
      </c>
      <c r="L54" s="10"/>
      <c r="M54" s="10">
        <v>0</v>
      </c>
      <c r="N54" s="10"/>
      <c r="O54" s="10">
        <f t="shared" si="1"/>
        <v>2141095</v>
      </c>
      <c r="P54" s="10"/>
      <c r="Q54" s="10">
        <v>31967040</v>
      </c>
      <c r="R54" s="13"/>
      <c r="S54" s="13"/>
    </row>
    <row r="55" spans="1:19" s="15" customFormat="1" ht="12">
      <c r="A55" s="13" t="s">
        <v>51</v>
      </c>
      <c r="B55" s="13"/>
      <c r="C55" s="10">
        <v>1940933</v>
      </c>
      <c r="D55" s="10"/>
      <c r="E55" s="10">
        <v>0</v>
      </c>
      <c r="F55" s="10"/>
      <c r="G55" s="10">
        <v>0</v>
      </c>
      <c r="H55" s="10"/>
      <c r="I55" s="10">
        <v>1836927</v>
      </c>
      <c r="J55" s="10"/>
      <c r="K55" s="10">
        <v>8414546</v>
      </c>
      <c r="L55" s="10"/>
      <c r="M55" s="10">
        <v>0</v>
      </c>
      <c r="N55" s="10"/>
      <c r="O55" s="10">
        <f t="shared" si="1"/>
        <v>1899255</v>
      </c>
      <c r="P55" s="10"/>
      <c r="Q55" s="10">
        <v>14091661</v>
      </c>
      <c r="R55" s="13"/>
      <c r="S55" s="13"/>
    </row>
    <row r="56" spans="1:19" s="15" customFormat="1" ht="12">
      <c r="A56" s="13" t="s">
        <v>52</v>
      </c>
      <c r="B56" s="13"/>
      <c r="C56" s="10">
        <v>6307738</v>
      </c>
      <c r="D56" s="10"/>
      <c r="E56" s="10">
        <v>13680023</v>
      </c>
      <c r="F56" s="10"/>
      <c r="G56" s="10">
        <v>0</v>
      </c>
      <c r="H56" s="10"/>
      <c r="I56" s="10">
        <v>2000702</v>
      </c>
      <c r="J56" s="10"/>
      <c r="K56" s="10">
        <v>11150839</v>
      </c>
      <c r="L56" s="10"/>
      <c r="M56" s="10">
        <v>0</v>
      </c>
      <c r="N56" s="10"/>
      <c r="O56" s="10">
        <f t="shared" si="1"/>
        <v>16678415</v>
      </c>
      <c r="P56" s="10"/>
      <c r="Q56" s="10">
        <v>49817717</v>
      </c>
      <c r="R56" s="13"/>
      <c r="S56" s="13"/>
    </row>
    <row r="57" spans="1:19" s="15" customFormat="1" ht="12">
      <c r="A57" s="13" t="s">
        <v>196</v>
      </c>
      <c r="B57" s="13"/>
      <c r="C57" s="10">
        <v>87424000</v>
      </c>
      <c r="D57" s="10"/>
      <c r="E57" s="10">
        <v>0</v>
      </c>
      <c r="F57" s="10"/>
      <c r="G57" s="10">
        <v>0</v>
      </c>
      <c r="H57" s="10"/>
      <c r="I57" s="10">
        <v>12707000</v>
      </c>
      <c r="J57" s="10"/>
      <c r="K57" s="10">
        <v>21025000</v>
      </c>
      <c r="L57" s="10"/>
      <c r="M57" s="10">
        <v>27000</v>
      </c>
      <c r="N57" s="10"/>
      <c r="O57" s="10">
        <f t="shared" si="1"/>
        <v>11736000</v>
      </c>
      <c r="P57" s="10"/>
      <c r="Q57" s="10">
        <v>132919000</v>
      </c>
      <c r="R57" s="13"/>
      <c r="S57" s="13"/>
    </row>
    <row r="58" spans="1:19" s="15" customFormat="1" ht="12" hidden="1">
      <c r="A58" s="13" t="s">
        <v>53</v>
      </c>
      <c r="B58" s="13"/>
      <c r="C58" s="10">
        <v>5848025</v>
      </c>
      <c r="D58" s="10"/>
      <c r="E58" s="10">
        <v>0</v>
      </c>
      <c r="F58" s="10"/>
      <c r="G58" s="10">
        <v>0</v>
      </c>
      <c r="H58" s="10"/>
      <c r="I58" s="10">
        <v>916867</v>
      </c>
      <c r="J58" s="10"/>
      <c r="K58" s="10">
        <v>643404</v>
      </c>
      <c r="L58" s="10"/>
      <c r="M58" s="10">
        <v>0</v>
      </c>
      <c r="N58" s="10"/>
      <c r="O58" s="10">
        <f t="shared" si="1"/>
        <v>1161005</v>
      </c>
      <c r="P58" s="10"/>
      <c r="Q58" s="10">
        <v>8569301</v>
      </c>
      <c r="R58" s="13"/>
      <c r="S58" s="13"/>
    </row>
    <row r="59" spans="1:19" s="15" customFormat="1" ht="12">
      <c r="A59" s="13" t="s">
        <v>54</v>
      </c>
      <c r="B59" s="13"/>
      <c r="C59" s="10">
        <v>6790979</v>
      </c>
      <c r="D59" s="10"/>
      <c r="E59" s="10">
        <v>25819560</v>
      </c>
      <c r="F59" s="10"/>
      <c r="G59" s="10">
        <v>0</v>
      </c>
      <c r="H59" s="10"/>
      <c r="I59" s="10">
        <v>5940204</v>
      </c>
      <c r="J59" s="10"/>
      <c r="K59" s="10">
        <v>7418126</v>
      </c>
      <c r="L59" s="10"/>
      <c r="M59" s="10">
        <v>0</v>
      </c>
      <c r="N59" s="10"/>
      <c r="O59" s="10">
        <f t="shared" si="1"/>
        <v>5222296</v>
      </c>
      <c r="P59" s="10"/>
      <c r="Q59" s="10">
        <v>51191165</v>
      </c>
      <c r="R59" s="13"/>
      <c r="S59" s="13"/>
    </row>
    <row r="60" spans="1:19" s="15" customFormat="1" ht="12">
      <c r="A60" s="13" t="s">
        <v>55</v>
      </c>
      <c r="B60" s="13"/>
      <c r="C60" s="10">
        <v>2077189</v>
      </c>
      <c r="D60" s="10"/>
      <c r="E60" s="10">
        <v>6251522</v>
      </c>
      <c r="F60" s="10"/>
      <c r="G60" s="10">
        <v>0</v>
      </c>
      <c r="H60" s="10"/>
      <c r="I60" s="10">
        <v>2798652</v>
      </c>
      <c r="J60" s="10"/>
      <c r="K60" s="10">
        <v>1869553</v>
      </c>
      <c r="L60" s="10"/>
      <c r="M60" s="10">
        <v>0</v>
      </c>
      <c r="N60" s="10"/>
      <c r="O60" s="10">
        <f t="shared" si="1"/>
        <v>1795595</v>
      </c>
      <c r="P60" s="10"/>
      <c r="Q60" s="10">
        <v>14792511</v>
      </c>
      <c r="R60" s="13"/>
      <c r="S60" s="13"/>
    </row>
    <row r="61" spans="1:19" s="15" customFormat="1" ht="12">
      <c r="A61" s="13" t="s">
        <v>56</v>
      </c>
      <c r="B61" s="13"/>
      <c r="C61" s="10">
        <v>8285024</v>
      </c>
      <c r="D61" s="10"/>
      <c r="E61" s="10">
        <v>8137853</v>
      </c>
      <c r="F61" s="10"/>
      <c r="G61" s="10">
        <v>0</v>
      </c>
      <c r="H61" s="10"/>
      <c r="I61" s="10">
        <v>10145107</v>
      </c>
      <c r="J61" s="10"/>
      <c r="K61" s="10">
        <v>4396866</v>
      </c>
      <c r="L61" s="10"/>
      <c r="M61" s="10">
        <v>0</v>
      </c>
      <c r="N61" s="10"/>
      <c r="O61" s="10">
        <f t="shared" si="1"/>
        <v>2474523</v>
      </c>
      <c r="P61" s="10"/>
      <c r="Q61" s="10">
        <v>33439373</v>
      </c>
      <c r="R61" s="13"/>
      <c r="S61" s="13"/>
    </row>
    <row r="62" spans="1:19" s="15" customFormat="1" ht="12" hidden="1">
      <c r="A62" s="13" t="s">
        <v>173</v>
      </c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3"/>
      <c r="S62" s="13"/>
    </row>
    <row r="63" spans="1:19" s="15" customFormat="1" ht="12" hidden="1">
      <c r="A63" s="13" t="s">
        <v>57</v>
      </c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"/>
      <c r="S63" s="13"/>
    </row>
    <row r="64" spans="1:19" s="15" customFormat="1" ht="12">
      <c r="A64" s="13" t="s">
        <v>58</v>
      </c>
      <c r="B64" s="13"/>
      <c r="C64" s="10">
        <v>10977531</v>
      </c>
      <c r="D64" s="10"/>
      <c r="E64" s="10">
        <v>0</v>
      </c>
      <c r="F64" s="10"/>
      <c r="G64" s="10">
        <v>0</v>
      </c>
      <c r="H64" s="10"/>
      <c r="I64" s="10">
        <v>4432281</v>
      </c>
      <c r="J64" s="10"/>
      <c r="K64" s="10">
        <v>2618755</v>
      </c>
      <c r="L64" s="10"/>
      <c r="M64" s="10">
        <v>0</v>
      </c>
      <c r="N64" s="10"/>
      <c r="O64" s="10">
        <f t="shared" si="1"/>
        <v>3638388</v>
      </c>
      <c r="P64" s="10"/>
      <c r="Q64" s="10">
        <v>21666955</v>
      </c>
      <c r="R64" s="13"/>
      <c r="S64" s="13"/>
    </row>
    <row r="65" spans="1:19" s="15" customFormat="1" ht="12" hidden="1">
      <c r="A65" s="13" t="s">
        <v>59</v>
      </c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f t="shared" si="1"/>
        <v>0</v>
      </c>
      <c r="P65" s="10"/>
      <c r="Q65" s="10"/>
      <c r="R65" s="13"/>
      <c r="S65" s="13"/>
    </row>
    <row r="66" spans="1:19" s="15" customFormat="1" ht="12">
      <c r="A66" s="13" t="s">
        <v>60</v>
      </c>
      <c r="B66" s="13"/>
      <c r="C66" s="10">
        <v>13762584</v>
      </c>
      <c r="D66" s="10"/>
      <c r="E66" s="10">
        <v>62952069</v>
      </c>
      <c r="F66" s="10"/>
      <c r="G66" s="10">
        <v>1766421</v>
      </c>
      <c r="H66" s="10"/>
      <c r="I66" s="10">
        <v>20692856</v>
      </c>
      <c r="J66" s="10"/>
      <c r="K66" s="10">
        <v>20864491</v>
      </c>
      <c r="L66" s="10"/>
      <c r="M66" s="10">
        <v>0</v>
      </c>
      <c r="N66" s="10"/>
      <c r="O66" s="10">
        <f>Q66-C66-E66-G66-I66-K66-M66</f>
        <v>32275323</v>
      </c>
      <c r="P66" s="10"/>
      <c r="Q66" s="10">
        <v>152313744</v>
      </c>
      <c r="R66" s="13"/>
      <c r="S66" s="13"/>
    </row>
    <row r="67" spans="1:19" s="15" customFormat="1" ht="12" hidden="1">
      <c r="A67" s="13" t="s">
        <v>61</v>
      </c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"/>
      <c r="S67" s="13"/>
    </row>
    <row r="68" spans="1:19" s="15" customFormat="1" ht="12">
      <c r="A68" s="13" t="s">
        <v>100</v>
      </c>
      <c r="B68" s="13"/>
      <c r="C68" s="10">
        <v>1720264</v>
      </c>
      <c r="D68" s="10"/>
      <c r="E68" s="10">
        <v>2320572</v>
      </c>
      <c r="F68" s="10"/>
      <c r="G68" s="10">
        <v>0</v>
      </c>
      <c r="H68" s="10"/>
      <c r="I68" s="10">
        <v>1864651</v>
      </c>
      <c r="J68" s="10"/>
      <c r="K68" s="10">
        <v>934262</v>
      </c>
      <c r="L68" s="10"/>
      <c r="M68" s="10">
        <v>0</v>
      </c>
      <c r="N68" s="10"/>
      <c r="O68" s="10">
        <f>Q68-C68-E68-G68-I68-K68-M68</f>
        <v>1133029</v>
      </c>
      <c r="P68" s="10"/>
      <c r="Q68" s="10">
        <v>7972778</v>
      </c>
      <c r="R68" s="13"/>
      <c r="S68" s="13"/>
    </row>
    <row r="69" spans="1:19" s="15" customFormat="1" ht="12">
      <c r="A69" s="13" t="s">
        <v>63</v>
      </c>
      <c r="B69" s="13"/>
      <c r="C69" s="10">
        <v>2357126</v>
      </c>
      <c r="D69" s="10"/>
      <c r="E69" s="10">
        <f>13592599+10051</f>
        <v>13602650</v>
      </c>
      <c r="F69" s="10"/>
      <c r="G69" s="10">
        <v>0</v>
      </c>
      <c r="H69" s="10"/>
      <c r="I69" s="10">
        <v>3825851</v>
      </c>
      <c r="J69" s="10"/>
      <c r="K69" s="10">
        <v>0</v>
      </c>
      <c r="L69" s="10"/>
      <c r="M69" s="10">
        <v>0</v>
      </c>
      <c r="N69" s="10"/>
      <c r="O69" s="10">
        <f>Q69-C69-E69-G69-I69-K69-M69</f>
        <v>4366304</v>
      </c>
      <c r="P69" s="10"/>
      <c r="Q69" s="10">
        <v>24151931</v>
      </c>
      <c r="R69" s="13"/>
      <c r="S69" s="13"/>
    </row>
    <row r="70" spans="1:19" s="15" customFormat="1" ht="12">
      <c r="A70" s="13" t="s">
        <v>64</v>
      </c>
      <c r="B70" s="13"/>
      <c r="C70" s="10">
        <v>480988</v>
      </c>
      <c r="D70" s="10"/>
      <c r="E70" s="10">
        <v>881894</v>
      </c>
      <c r="F70" s="10"/>
      <c r="G70" s="10">
        <v>0</v>
      </c>
      <c r="H70" s="10"/>
      <c r="I70" s="10">
        <v>796127</v>
      </c>
      <c r="J70" s="10"/>
      <c r="K70" s="10">
        <v>363388</v>
      </c>
      <c r="L70" s="10"/>
      <c r="M70" s="10">
        <v>0</v>
      </c>
      <c r="N70" s="10"/>
      <c r="O70" s="10">
        <f>Q70-C70-E70-G70-I70-K70-M70</f>
        <v>321886</v>
      </c>
      <c r="P70" s="10"/>
      <c r="Q70" s="10">
        <v>2844283</v>
      </c>
      <c r="R70" s="13"/>
      <c r="S70" s="13"/>
    </row>
    <row r="71" spans="1:19" s="15" customFormat="1" ht="12">
      <c r="A71" s="13" t="s">
        <v>65</v>
      </c>
      <c r="B71" s="13"/>
      <c r="C71" s="10">
        <v>2524502</v>
      </c>
      <c r="D71" s="10"/>
      <c r="E71" s="10">
        <v>4206639</v>
      </c>
      <c r="F71" s="10"/>
      <c r="G71" s="10">
        <v>0</v>
      </c>
      <c r="H71" s="10"/>
      <c r="I71" s="10">
        <v>3150946</v>
      </c>
      <c r="J71" s="10"/>
      <c r="K71" s="10">
        <v>1298961</v>
      </c>
      <c r="L71" s="10"/>
      <c r="M71" s="10">
        <v>0</v>
      </c>
      <c r="N71" s="10"/>
      <c r="O71" s="10">
        <f>Q71-C71-E71-G71-I71-K71-M71</f>
        <v>1335572</v>
      </c>
      <c r="P71" s="10"/>
      <c r="Q71" s="10">
        <v>12516620</v>
      </c>
      <c r="R71" s="13"/>
      <c r="S71" s="13"/>
    </row>
    <row r="72" spans="1:19" s="15" customFormat="1" ht="12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 t="s">
        <v>246</v>
      </c>
      <c r="R72" s="13"/>
      <c r="S72" s="13"/>
    </row>
    <row r="73" spans="1:19" s="15" customFormat="1" ht="12">
      <c r="A73" s="13" t="s">
        <v>261</v>
      </c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3"/>
      <c r="S73" s="13"/>
    </row>
    <row r="74" spans="1:19" s="15" customFormat="1" ht="12">
      <c r="A74" s="13" t="s">
        <v>262</v>
      </c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3"/>
      <c r="S74" s="13"/>
    </row>
    <row r="76" spans="1:19" s="15" customFormat="1" ht="12" hidden="1">
      <c r="A76" s="13" t="s">
        <v>134</v>
      </c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3"/>
    </row>
    <row r="77" spans="1:19" s="15" customFormat="1" ht="12" hidden="1">
      <c r="A77" s="13" t="s">
        <v>66</v>
      </c>
      <c r="B77" s="13"/>
      <c r="C77" s="10">
        <v>1440759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"/>
      <c r="S77" s="13"/>
    </row>
    <row r="78" spans="1:19" s="15" customFormat="1" ht="12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3"/>
      <c r="S78" s="13"/>
    </row>
    <row r="79" spans="1:19" s="15" customFormat="1" ht="12">
      <c r="A79" s="13" t="s">
        <v>67</v>
      </c>
      <c r="B79" s="13"/>
      <c r="C79" s="62">
        <v>2660112</v>
      </c>
      <c r="D79" s="62"/>
      <c r="E79" s="62">
        <v>5093972</v>
      </c>
      <c r="F79" s="62"/>
      <c r="G79" s="62">
        <v>0</v>
      </c>
      <c r="H79" s="62"/>
      <c r="I79" s="62">
        <v>1566154</v>
      </c>
      <c r="J79" s="62"/>
      <c r="K79" s="62">
        <v>1185652</v>
      </c>
      <c r="L79" s="62"/>
      <c r="M79" s="62">
        <v>0</v>
      </c>
      <c r="N79" s="62"/>
      <c r="O79" s="62">
        <f>Q79-C79-E79-G79-I79-K79-M79</f>
        <v>1320456</v>
      </c>
      <c r="P79" s="62"/>
      <c r="Q79" s="62">
        <v>11826346</v>
      </c>
      <c r="R79" s="13"/>
      <c r="S79" s="13"/>
    </row>
    <row r="80" spans="1:19" s="15" customFormat="1" ht="12">
      <c r="A80" s="13" t="s">
        <v>68</v>
      </c>
      <c r="B80" s="13"/>
      <c r="C80" s="10">
        <f>4511759</f>
        <v>4511759</v>
      </c>
      <c r="D80" s="10"/>
      <c r="E80" s="10">
        <v>0</v>
      </c>
      <c r="F80" s="10"/>
      <c r="G80" s="10">
        <v>0</v>
      </c>
      <c r="H80" s="10"/>
      <c r="I80" s="10">
        <v>768182</v>
      </c>
      <c r="J80" s="10"/>
      <c r="K80" s="10">
        <v>370889</v>
      </c>
      <c r="L80" s="10"/>
      <c r="M80" s="10">
        <v>0</v>
      </c>
      <c r="N80" s="10"/>
      <c r="O80" s="10">
        <f t="shared" si="1"/>
        <v>660868</v>
      </c>
      <c r="P80" s="10"/>
      <c r="Q80" s="10">
        <v>6311698</v>
      </c>
      <c r="R80" s="13"/>
      <c r="S80" s="13"/>
    </row>
    <row r="81" spans="1:19" s="15" customFormat="1" ht="12">
      <c r="A81" s="13" t="s">
        <v>69</v>
      </c>
      <c r="B81" s="13"/>
      <c r="C81" s="10">
        <v>4964784</v>
      </c>
      <c r="D81" s="10"/>
      <c r="E81" s="10">
        <v>12584271</v>
      </c>
      <c r="F81" s="10"/>
      <c r="G81" s="10">
        <v>0</v>
      </c>
      <c r="H81" s="10"/>
      <c r="I81" s="10">
        <v>4673530</v>
      </c>
      <c r="J81" s="10"/>
      <c r="K81" s="10">
        <v>4946915</v>
      </c>
      <c r="L81" s="10"/>
      <c r="M81" s="10">
        <v>0</v>
      </c>
      <c r="N81" s="10"/>
      <c r="O81" s="10">
        <f t="shared" si="1"/>
        <v>4930727</v>
      </c>
      <c r="P81" s="10"/>
      <c r="Q81" s="10">
        <v>32100227</v>
      </c>
      <c r="R81" s="13"/>
      <c r="S81" s="13"/>
    </row>
    <row r="82" spans="1:19" s="15" customFormat="1" ht="12">
      <c r="A82" s="13" t="s">
        <v>70</v>
      </c>
      <c r="B82" s="13"/>
      <c r="C82" s="10">
        <v>1408725</v>
      </c>
      <c r="D82" s="10"/>
      <c r="E82" s="10">
        <v>3788125</v>
      </c>
      <c r="F82" s="10"/>
      <c r="G82" s="10">
        <v>0</v>
      </c>
      <c r="H82" s="10"/>
      <c r="I82" s="10">
        <v>1981704</v>
      </c>
      <c r="J82" s="10"/>
      <c r="K82" s="10">
        <v>1169551</v>
      </c>
      <c r="L82" s="10"/>
      <c r="M82" s="10">
        <v>0</v>
      </c>
      <c r="N82" s="10"/>
      <c r="O82" s="10">
        <f t="shared" si="1"/>
        <v>435577</v>
      </c>
      <c r="P82" s="10"/>
      <c r="Q82" s="10">
        <v>8783682</v>
      </c>
      <c r="R82" s="13"/>
      <c r="S82" s="13"/>
    </row>
    <row r="83" spans="1:19" s="15" customFormat="1" ht="12" hidden="1">
      <c r="A83" s="13" t="s">
        <v>186</v>
      </c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3"/>
      <c r="S83" s="13"/>
    </row>
    <row r="84" spans="1:19" s="15" customFormat="1" ht="12">
      <c r="A84" s="13" t="s">
        <v>191</v>
      </c>
      <c r="B84" s="13"/>
      <c r="C84" s="10">
        <v>32930</v>
      </c>
      <c r="D84" s="10"/>
      <c r="E84" s="10">
        <v>15108839</v>
      </c>
      <c r="F84" s="10"/>
      <c r="G84" s="10">
        <v>0</v>
      </c>
      <c r="H84" s="10"/>
      <c r="I84" s="10">
        <v>3700567</v>
      </c>
      <c r="J84" s="10"/>
      <c r="K84" s="10">
        <v>4168788</v>
      </c>
      <c r="L84" s="10"/>
      <c r="M84" s="10">
        <v>0</v>
      </c>
      <c r="N84" s="10"/>
      <c r="O84" s="10">
        <f t="shared" si="1"/>
        <v>2804191</v>
      </c>
      <c r="P84" s="10"/>
      <c r="Q84" s="10">
        <v>25815315</v>
      </c>
      <c r="R84" s="13"/>
      <c r="S84" s="13"/>
    </row>
    <row r="85" spans="1:19" s="15" customFormat="1" ht="12">
      <c r="A85" s="13" t="s">
        <v>71</v>
      </c>
      <c r="B85" s="13"/>
      <c r="C85" s="10">
        <v>1626430</v>
      </c>
      <c r="D85" s="10"/>
      <c r="E85" s="10">
        <v>10250454</v>
      </c>
      <c r="F85" s="10"/>
      <c r="G85" s="10">
        <v>0</v>
      </c>
      <c r="H85" s="10"/>
      <c r="I85" s="10">
        <v>1429553</v>
      </c>
      <c r="J85" s="10"/>
      <c r="K85" s="10">
        <v>1574549</v>
      </c>
      <c r="L85" s="10"/>
      <c r="M85" s="10">
        <v>0</v>
      </c>
      <c r="N85" s="10"/>
      <c r="O85" s="10">
        <f t="shared" si="1"/>
        <v>1751574</v>
      </c>
      <c r="P85" s="10"/>
      <c r="Q85" s="10">
        <v>16632560</v>
      </c>
      <c r="R85" s="13"/>
      <c r="S85" s="13"/>
    </row>
    <row r="86" spans="1:19" s="15" customFormat="1" ht="12">
      <c r="A86" s="13" t="s">
        <v>101</v>
      </c>
      <c r="B86" s="13"/>
      <c r="C86" s="10">
        <v>2375539</v>
      </c>
      <c r="D86" s="10"/>
      <c r="E86" s="10">
        <v>5678097</v>
      </c>
      <c r="F86" s="10"/>
      <c r="G86" s="10">
        <v>0</v>
      </c>
      <c r="H86" s="10"/>
      <c r="I86" s="10">
        <v>2348375</v>
      </c>
      <c r="J86" s="10"/>
      <c r="K86" s="10">
        <v>2118599</v>
      </c>
      <c r="L86" s="10"/>
      <c r="M86" s="10">
        <v>0</v>
      </c>
      <c r="N86" s="10"/>
      <c r="O86" s="10">
        <f t="shared" si="1"/>
        <v>2503163</v>
      </c>
      <c r="P86" s="10"/>
      <c r="Q86" s="10">
        <v>15023773</v>
      </c>
      <c r="R86" s="13"/>
      <c r="S86" s="13"/>
    </row>
    <row r="87" spans="1:19" s="15" customFormat="1" ht="12">
      <c r="A87" s="13" t="s">
        <v>73</v>
      </c>
      <c r="B87" s="13"/>
      <c r="C87" s="10">
        <v>1418900</v>
      </c>
      <c r="D87" s="10"/>
      <c r="E87" s="10">
        <v>8233430</v>
      </c>
      <c r="F87" s="10"/>
      <c r="G87" s="10">
        <v>0</v>
      </c>
      <c r="H87" s="10"/>
      <c r="I87" s="10">
        <v>1568685</v>
      </c>
      <c r="J87" s="10"/>
      <c r="K87" s="10">
        <v>1180604</v>
      </c>
      <c r="L87" s="10"/>
      <c r="M87" s="10">
        <v>0</v>
      </c>
      <c r="N87" s="10"/>
      <c r="O87" s="10">
        <f t="shared" si="1"/>
        <v>940478</v>
      </c>
      <c r="P87" s="10"/>
      <c r="Q87" s="10">
        <v>13342097</v>
      </c>
      <c r="R87" s="13"/>
      <c r="S87" s="13"/>
    </row>
    <row r="88" spans="1:19" s="15" customFormat="1" ht="12">
      <c r="A88" s="13" t="s">
        <v>74</v>
      </c>
      <c r="B88" s="13"/>
      <c r="C88" s="10">
        <v>1967008</v>
      </c>
      <c r="D88" s="10"/>
      <c r="E88" s="10">
        <v>4866551</v>
      </c>
      <c r="F88" s="10"/>
      <c r="G88" s="10">
        <v>0</v>
      </c>
      <c r="H88" s="10"/>
      <c r="I88" s="10">
        <v>2413771</v>
      </c>
      <c r="J88" s="10"/>
      <c r="K88" s="10">
        <v>1052424</v>
      </c>
      <c r="L88" s="10"/>
      <c r="M88" s="10">
        <v>0</v>
      </c>
      <c r="N88" s="10"/>
      <c r="O88" s="10">
        <f t="shared" si="1"/>
        <v>841653</v>
      </c>
      <c r="P88" s="10"/>
      <c r="Q88" s="10">
        <v>11141407</v>
      </c>
      <c r="R88" s="13"/>
      <c r="S88" s="13"/>
    </row>
    <row r="89" spans="1:19" s="15" customFormat="1" ht="12">
      <c r="A89" s="13" t="s">
        <v>75</v>
      </c>
      <c r="B89" s="13"/>
      <c r="C89" s="10">
        <v>1996800</v>
      </c>
      <c r="D89" s="10"/>
      <c r="E89" s="10">
        <v>3474288</v>
      </c>
      <c r="F89" s="10"/>
      <c r="G89" s="10">
        <v>0</v>
      </c>
      <c r="H89" s="10"/>
      <c r="I89" s="10">
        <v>2403229</v>
      </c>
      <c r="J89" s="10"/>
      <c r="K89" s="10">
        <v>2097376</v>
      </c>
      <c r="L89" s="10"/>
      <c r="M89" s="10">
        <v>0</v>
      </c>
      <c r="N89" s="10"/>
      <c r="O89" s="10">
        <f t="shared" si="1"/>
        <v>1025984</v>
      </c>
      <c r="P89" s="10"/>
      <c r="Q89" s="10">
        <v>10997677</v>
      </c>
      <c r="R89" s="13"/>
      <c r="S89" s="13"/>
    </row>
    <row r="90" spans="1:19" s="15" customFormat="1" ht="12">
      <c r="A90" s="13" t="s">
        <v>76</v>
      </c>
      <c r="B90" s="13"/>
      <c r="C90" s="10">
        <v>12475840</v>
      </c>
      <c r="D90" s="10"/>
      <c r="E90" s="10">
        <v>135147</v>
      </c>
      <c r="F90" s="10"/>
      <c r="G90" s="10">
        <v>0</v>
      </c>
      <c r="H90" s="10"/>
      <c r="I90" s="10">
        <v>13729182</v>
      </c>
      <c r="J90" s="10"/>
      <c r="K90" s="10">
        <v>10785908</v>
      </c>
      <c r="L90" s="10"/>
      <c r="M90" s="10">
        <v>0</v>
      </c>
      <c r="N90" s="10"/>
      <c r="O90" s="10">
        <f t="shared" si="1"/>
        <v>6488549</v>
      </c>
      <c r="P90" s="10"/>
      <c r="Q90" s="10">
        <v>43614626</v>
      </c>
      <c r="R90" s="13"/>
      <c r="S90" s="13"/>
    </row>
    <row r="91" spans="1:19" s="15" customFormat="1" ht="12">
      <c r="A91" s="13" t="s">
        <v>77</v>
      </c>
      <c r="B91" s="13"/>
      <c r="C91" s="10">
        <v>18003551</v>
      </c>
      <c r="D91" s="10"/>
      <c r="E91" s="10">
        <v>33081046</v>
      </c>
      <c r="F91" s="10"/>
      <c r="G91" s="10">
        <v>7366560</v>
      </c>
      <c r="H91" s="10"/>
      <c r="I91" s="10">
        <v>22234492</v>
      </c>
      <c r="J91" s="10"/>
      <c r="K91" s="10">
        <v>17555046</v>
      </c>
      <c r="L91" s="10"/>
      <c r="M91" s="10">
        <v>0</v>
      </c>
      <c r="N91" s="10"/>
      <c r="O91" s="10">
        <f t="shared" si="1"/>
        <v>13893804</v>
      </c>
      <c r="P91" s="10"/>
      <c r="Q91" s="10">
        <v>112134499</v>
      </c>
      <c r="R91" s="13"/>
      <c r="S91" s="13"/>
    </row>
    <row r="92" spans="1:19" s="15" customFormat="1" ht="12">
      <c r="A92" s="13" t="s">
        <v>78</v>
      </c>
      <c r="B92" s="13"/>
      <c r="C92" s="10">
        <v>6641844</v>
      </c>
      <c r="D92" s="10"/>
      <c r="E92" s="10">
        <v>6654324</v>
      </c>
      <c r="F92" s="10"/>
      <c r="G92" s="10">
        <v>0</v>
      </c>
      <c r="H92" s="10"/>
      <c r="I92" s="10">
        <v>3091668</v>
      </c>
      <c r="J92" s="10"/>
      <c r="K92" s="10">
        <v>6346593</v>
      </c>
      <c r="L92" s="10"/>
      <c r="M92" s="10">
        <v>0</v>
      </c>
      <c r="N92" s="10"/>
      <c r="O92" s="10">
        <f t="shared" si="1"/>
        <v>7903265</v>
      </c>
      <c r="P92" s="10"/>
      <c r="Q92" s="10">
        <v>30637694</v>
      </c>
      <c r="R92" s="13"/>
      <c r="S92" s="13"/>
    </row>
    <row r="93" spans="1:19" s="15" customFormat="1" ht="12">
      <c r="A93" s="13" t="s">
        <v>79</v>
      </c>
      <c r="B93" s="13"/>
      <c r="C93" s="10">
        <f>3167879</f>
        <v>3167879</v>
      </c>
      <c r="D93" s="10"/>
      <c r="E93" s="10">
        <v>9013004</v>
      </c>
      <c r="F93" s="10"/>
      <c r="G93" s="10">
        <v>0</v>
      </c>
      <c r="H93" s="10"/>
      <c r="I93" s="10">
        <v>2225947</v>
      </c>
      <c r="J93" s="10"/>
      <c r="K93" s="10">
        <v>2321645</v>
      </c>
      <c r="L93" s="10"/>
      <c r="M93" s="10">
        <v>0</v>
      </c>
      <c r="N93" s="10"/>
      <c r="O93" s="10">
        <f t="shared" si="1"/>
        <v>2111002</v>
      </c>
      <c r="P93" s="10"/>
      <c r="Q93" s="10">
        <v>18839477</v>
      </c>
      <c r="R93" s="13"/>
      <c r="S93" s="13"/>
    </row>
    <row r="94" spans="1:19" s="15" customFormat="1" ht="12">
      <c r="A94" s="13" t="s">
        <v>80</v>
      </c>
      <c r="B94" s="13"/>
      <c r="C94" s="10">
        <v>8446620</v>
      </c>
      <c r="D94" s="10"/>
      <c r="E94" s="10">
        <v>0</v>
      </c>
      <c r="F94" s="10"/>
      <c r="G94" s="10">
        <v>0</v>
      </c>
      <c r="H94" s="10"/>
      <c r="I94" s="10">
        <v>1848315</v>
      </c>
      <c r="J94" s="10"/>
      <c r="K94" s="10">
        <v>1746855</v>
      </c>
      <c r="L94" s="10"/>
      <c r="M94" s="10">
        <v>0</v>
      </c>
      <c r="N94" s="10"/>
      <c r="O94" s="10">
        <f t="shared" si="1"/>
        <v>1527611</v>
      </c>
      <c r="P94" s="10"/>
      <c r="Q94" s="10">
        <v>13569401</v>
      </c>
      <c r="R94" s="13"/>
      <c r="S94" s="13"/>
    </row>
    <row r="95" spans="1:19" s="15" customFormat="1" ht="12">
      <c r="A95" s="13" t="s">
        <v>81</v>
      </c>
      <c r="B95" s="13"/>
      <c r="C95" s="15">
        <v>883437</v>
      </c>
      <c r="E95" s="15">
        <v>3289525</v>
      </c>
      <c r="G95" s="15">
        <v>0</v>
      </c>
      <c r="I95" s="15">
        <v>641796</v>
      </c>
      <c r="K95" s="15">
        <v>1596984</v>
      </c>
      <c r="M95" s="15">
        <v>0</v>
      </c>
      <c r="O95" s="10">
        <f t="shared" si="1"/>
        <v>1222652</v>
      </c>
      <c r="P95" s="10"/>
      <c r="Q95" s="15">
        <v>7634394</v>
      </c>
      <c r="R95" s="13"/>
      <c r="S95" s="13"/>
    </row>
    <row r="96" spans="1:19" s="15" customFormat="1" ht="12">
      <c r="A96" s="13" t="s">
        <v>82</v>
      </c>
      <c r="B96" s="13"/>
      <c r="C96" s="10">
        <v>1520078</v>
      </c>
      <c r="D96" s="10"/>
      <c r="E96" s="10">
        <v>0</v>
      </c>
      <c r="F96" s="10"/>
      <c r="G96" s="10">
        <v>0</v>
      </c>
      <c r="H96" s="10"/>
      <c r="I96" s="10">
        <v>432306</v>
      </c>
      <c r="J96" s="10"/>
      <c r="K96" s="10">
        <v>166087</v>
      </c>
      <c r="L96" s="10"/>
      <c r="M96" s="10">
        <v>0</v>
      </c>
      <c r="N96" s="10"/>
      <c r="O96" s="10">
        <f t="shared" si="1"/>
        <v>651008</v>
      </c>
      <c r="P96" s="10"/>
      <c r="Q96" s="10">
        <v>2769479</v>
      </c>
      <c r="R96" s="13"/>
      <c r="S96" s="13"/>
    </row>
    <row r="97" spans="1:19" s="15" customFormat="1" ht="12">
      <c r="A97" s="13" t="s">
        <v>83</v>
      </c>
      <c r="B97" s="13"/>
      <c r="C97" s="10">
        <v>24618097</v>
      </c>
      <c r="D97" s="10"/>
      <c r="E97" s="10">
        <v>0</v>
      </c>
      <c r="F97" s="10"/>
      <c r="G97" s="10">
        <v>0</v>
      </c>
      <c r="H97" s="10"/>
      <c r="I97" s="10">
        <v>5899787</v>
      </c>
      <c r="J97" s="10"/>
      <c r="K97" s="10">
        <v>3784290</v>
      </c>
      <c r="L97" s="10"/>
      <c r="M97" s="10">
        <v>0</v>
      </c>
      <c r="N97" s="10"/>
      <c r="O97" s="10">
        <f t="shared" si="1"/>
        <v>5272198</v>
      </c>
      <c r="P97" s="10"/>
      <c r="Q97" s="10">
        <v>39574372</v>
      </c>
      <c r="R97" s="13"/>
      <c r="S97" s="13"/>
    </row>
    <row r="98" spans="1:19" s="15" customFormat="1" ht="12">
      <c r="A98" s="13" t="s">
        <v>84</v>
      </c>
      <c r="B98" s="13"/>
      <c r="C98" s="10">
        <v>2321543</v>
      </c>
      <c r="D98" s="10"/>
      <c r="E98" s="10">
        <v>1300820</v>
      </c>
      <c r="F98" s="10"/>
      <c r="G98" s="10">
        <v>0</v>
      </c>
      <c r="H98" s="10"/>
      <c r="I98" s="10">
        <v>2061180</v>
      </c>
      <c r="J98" s="10"/>
      <c r="K98" s="10">
        <v>1763640</v>
      </c>
      <c r="L98" s="10"/>
      <c r="M98" s="10">
        <v>0</v>
      </c>
      <c r="N98" s="10"/>
      <c r="O98" s="10">
        <f t="shared" si="1"/>
        <v>1722667</v>
      </c>
      <c r="P98" s="10"/>
      <c r="Q98" s="10">
        <v>9169850</v>
      </c>
      <c r="R98" s="13"/>
      <c r="S98" s="13"/>
    </row>
    <row r="99" spans="1:19" s="15" customFormat="1" ht="12">
      <c r="A99" s="13" t="s">
        <v>85</v>
      </c>
      <c r="B99" s="13"/>
      <c r="C99" s="10">
        <v>3171299</v>
      </c>
      <c r="D99" s="10"/>
      <c r="E99" s="10">
        <v>7636796</v>
      </c>
      <c r="F99" s="10"/>
      <c r="G99" s="10">
        <v>0</v>
      </c>
      <c r="H99" s="10"/>
      <c r="I99" s="10">
        <v>4646717</v>
      </c>
      <c r="J99" s="10"/>
      <c r="K99" s="10">
        <v>3164833</v>
      </c>
      <c r="L99" s="10"/>
      <c r="M99" s="10">
        <v>0</v>
      </c>
      <c r="N99" s="10"/>
      <c r="O99" s="10">
        <f t="shared" si="1"/>
        <v>2924753</v>
      </c>
      <c r="P99" s="10"/>
      <c r="Q99" s="10">
        <v>21544398</v>
      </c>
      <c r="R99" s="13"/>
      <c r="S99" s="13"/>
    </row>
    <row r="100" spans="1:19" s="15" customFormat="1" ht="12" hidden="1">
      <c r="A100" s="13" t="s">
        <v>184</v>
      </c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3"/>
      <c r="S100" s="13"/>
    </row>
    <row r="101" spans="1:19" s="15" customFormat="1" ht="12">
      <c r="A101" s="13" t="s">
        <v>86</v>
      </c>
      <c r="B101" s="13"/>
      <c r="C101" s="10">
        <v>5029136</v>
      </c>
      <c r="D101" s="10"/>
      <c r="E101" s="10">
        <v>13105218</v>
      </c>
      <c r="F101" s="10"/>
      <c r="G101" s="10">
        <v>39964</v>
      </c>
      <c r="H101" s="10"/>
      <c r="I101" s="10">
        <v>5363111</v>
      </c>
      <c r="J101" s="10"/>
      <c r="K101" s="10">
        <v>3770150</v>
      </c>
      <c r="L101" s="10"/>
      <c r="M101" s="10">
        <v>0</v>
      </c>
      <c r="N101" s="10"/>
      <c r="O101" s="10">
        <f t="shared" si="1"/>
        <v>3753677</v>
      </c>
      <c r="P101" s="10"/>
      <c r="Q101" s="10">
        <v>31061256</v>
      </c>
      <c r="R101" s="13"/>
      <c r="S101" s="13"/>
    </row>
    <row r="102" spans="1:19" s="15" customFormat="1" ht="12" hidden="1">
      <c r="A102" s="13" t="s">
        <v>185</v>
      </c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3"/>
      <c r="S102" s="13"/>
    </row>
    <row r="103" spans="1:19" s="15" customFormat="1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2:19" s="15" customFormat="1" ht="1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2:19" s="15" customFormat="1" ht="1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s="15" customFormat="1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s="15" customFormat="1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15" customFormat="1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32" ht="12">
      <c r="A132" s="13" t="s">
        <v>261</v>
      </c>
    </row>
    <row r="133" ht="12">
      <c r="A133" s="13" t="s">
        <v>262</v>
      </c>
    </row>
  </sheetData>
  <printOptions/>
  <pageMargins left="1" right="1" top="0.5" bottom="0.5" header="0" footer="0.5"/>
  <pageSetup firstPageNumber="14" useFirstPageNumber="1" fitToHeight="2" horizontalDpi="600" verticalDpi="600" orientation="portrait" pageOrder="overThenDown" scale="98" r:id="rId1"/>
  <headerFooter alignWithMargins="0">
    <oddFooter>&amp;C&amp;"Times New Roman,Regular"&amp;11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7"/>
  <sheetViews>
    <sheetView workbookViewId="0" topLeftCell="A1">
      <selection activeCell="S12" sqref="S12"/>
    </sheetView>
  </sheetViews>
  <sheetFormatPr defaultColWidth="9.140625" defaultRowHeight="12.75"/>
  <cols>
    <col min="1" max="1" width="9.140625" style="15" customWidth="1"/>
    <col min="2" max="2" width="1.57421875" style="15" customWidth="1"/>
    <col min="3" max="3" width="11.28125" style="15" customWidth="1"/>
    <col min="4" max="4" width="1.57421875" style="15" customWidth="1"/>
    <col min="5" max="5" width="11.28125" style="15" customWidth="1"/>
    <col min="6" max="6" width="1.57421875" style="15" customWidth="1"/>
    <col min="7" max="7" width="11.28125" style="15" customWidth="1"/>
    <col min="8" max="8" width="1.57421875" style="15" customWidth="1"/>
    <col min="9" max="9" width="11.28125" style="15" customWidth="1"/>
    <col min="10" max="10" width="1.57421875" style="15" customWidth="1"/>
    <col min="11" max="11" width="11.28125" style="15" customWidth="1"/>
    <col min="12" max="12" width="1.57421875" style="15" customWidth="1"/>
    <col min="13" max="13" width="11.28125" style="15" customWidth="1"/>
    <col min="14" max="14" width="0.42578125" style="15" customWidth="1"/>
    <col min="15" max="15" width="11.28125" style="15" customWidth="1"/>
    <col min="16" max="16" width="1.57421875" style="15" customWidth="1"/>
    <col min="17" max="17" width="11.28125" style="15" customWidth="1"/>
    <col min="18" max="18" width="1.57421875" style="15" customWidth="1"/>
    <col min="19" max="19" width="11.28125" style="15" customWidth="1"/>
    <col min="20" max="20" width="1.57421875" style="15" customWidth="1"/>
    <col min="21" max="21" width="11.28125" style="15" customWidth="1"/>
    <col min="22" max="22" width="1.57421875" style="15" customWidth="1"/>
    <col min="23" max="23" width="11.28125" style="15" customWidth="1"/>
    <col min="24" max="24" width="1.57421875" style="15" customWidth="1"/>
    <col min="25" max="25" width="11.28125" style="15" customWidth="1"/>
    <col min="26" max="26" width="1.57421875" style="15" customWidth="1"/>
    <col min="27" max="27" width="11.28125" style="15" customWidth="1"/>
    <col min="28" max="28" width="1.57421875" style="15" customWidth="1"/>
    <col min="29" max="29" width="11.28125" style="15" customWidth="1"/>
    <col min="30" max="30" width="9.140625" style="2" customWidth="1"/>
    <col min="31" max="31" width="11.7109375" style="2" customWidth="1"/>
    <col min="32" max="32" width="9.140625" style="2" customWidth="1"/>
    <col min="33" max="33" width="11.7109375" style="2" customWidth="1"/>
    <col min="34" max="34" width="9.140625" style="2" customWidth="1"/>
    <col min="35" max="35" width="11.7109375" style="2" customWidth="1"/>
    <col min="36" max="36" width="9.140625" style="2" customWidth="1"/>
    <col min="37" max="37" width="11.7109375" style="2" customWidth="1"/>
    <col min="38" max="16384" width="9.140625" style="2" customWidth="1"/>
  </cols>
  <sheetData>
    <row r="1" spans="1:31" s="1" customFormat="1" ht="12">
      <c r="A1" s="17" t="s">
        <v>250</v>
      </c>
      <c r="B1" s="17"/>
      <c r="C1" s="17"/>
      <c r="D1" s="17"/>
      <c r="E1" s="19"/>
      <c r="F1" s="19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/>
      <c r="AE1" s="18"/>
    </row>
    <row r="2" spans="1:31" s="1" customFormat="1" ht="12">
      <c r="A2" s="17" t="s">
        <v>154</v>
      </c>
      <c r="B2" s="17"/>
      <c r="C2" s="17"/>
      <c r="D2" s="17"/>
      <c r="E2" s="19"/>
      <c r="F2" s="1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8"/>
      <c r="AE2" s="18"/>
    </row>
    <row r="3" spans="1:31" ht="12">
      <c r="A3" s="6" t="s">
        <v>197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8"/>
      <c r="AE3" s="8"/>
    </row>
    <row r="5" spans="1:31" ht="12">
      <c r="A5" s="105" t="s">
        <v>246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8"/>
      <c r="AE5" s="8"/>
    </row>
    <row r="6" spans="1:3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04" t="s">
        <v>3</v>
      </c>
      <c r="AD6" s="8"/>
      <c r="AE6" s="8"/>
    </row>
    <row r="7" spans="1:31" s="15" customFormat="1" ht="12">
      <c r="A7" s="3"/>
      <c r="B7" s="3"/>
      <c r="C7" s="3" t="s">
        <v>198</v>
      </c>
      <c r="D7" s="3"/>
      <c r="E7" s="3"/>
      <c r="F7" s="3"/>
      <c r="G7" s="3" t="s">
        <v>87</v>
      </c>
      <c r="H7" s="3"/>
      <c r="I7" s="3" t="s">
        <v>87</v>
      </c>
      <c r="J7" s="3"/>
      <c r="K7" s="3"/>
      <c r="L7" s="3"/>
      <c r="M7" s="3" t="s">
        <v>88</v>
      </c>
      <c r="N7" s="3"/>
      <c r="O7" s="3" t="s">
        <v>161</v>
      </c>
      <c r="P7" s="3"/>
      <c r="Q7" s="3" t="s">
        <v>89</v>
      </c>
      <c r="R7" s="3"/>
      <c r="S7" s="3" t="s">
        <v>107</v>
      </c>
      <c r="T7" s="3"/>
      <c r="U7" s="3" t="s">
        <v>90</v>
      </c>
      <c r="V7" s="3"/>
      <c r="W7" s="3" t="s">
        <v>1</v>
      </c>
      <c r="X7" s="3"/>
      <c r="Y7" s="3"/>
      <c r="Z7" s="3"/>
      <c r="AA7" s="3" t="s">
        <v>102</v>
      </c>
      <c r="AB7" s="3"/>
      <c r="AC7" s="85" t="s">
        <v>238</v>
      </c>
      <c r="AD7" s="13"/>
      <c r="AE7" s="13"/>
    </row>
    <row r="8" spans="1:31" s="15" customFormat="1" ht="12">
      <c r="A8" s="4" t="s">
        <v>4</v>
      </c>
      <c r="B8" s="13"/>
      <c r="C8" s="4" t="s">
        <v>199</v>
      </c>
      <c r="D8" s="13"/>
      <c r="E8" s="4" t="s">
        <v>91</v>
      </c>
      <c r="F8" s="13"/>
      <c r="G8" s="4" t="s">
        <v>92</v>
      </c>
      <c r="H8" s="13"/>
      <c r="I8" s="4" t="s">
        <v>93</v>
      </c>
      <c r="J8" s="13"/>
      <c r="K8" s="4" t="s">
        <v>94</v>
      </c>
      <c r="L8" s="13"/>
      <c r="M8" s="4" t="s">
        <v>7</v>
      </c>
      <c r="N8" s="13"/>
      <c r="O8" s="4" t="s">
        <v>162</v>
      </c>
      <c r="P8" s="13"/>
      <c r="Q8" s="4" t="s">
        <v>203</v>
      </c>
      <c r="R8" s="13"/>
      <c r="S8" s="4" t="s">
        <v>234</v>
      </c>
      <c r="T8" s="13"/>
      <c r="U8" s="4" t="s">
        <v>96</v>
      </c>
      <c r="V8" s="13"/>
      <c r="W8" s="4" t="s">
        <v>8</v>
      </c>
      <c r="X8" s="13"/>
      <c r="Y8" s="4" t="s">
        <v>97</v>
      </c>
      <c r="Z8" s="13"/>
      <c r="AA8" s="4" t="s">
        <v>98</v>
      </c>
      <c r="AB8" s="13"/>
      <c r="AC8" s="87" t="s">
        <v>95</v>
      </c>
      <c r="AD8" s="13"/>
      <c r="AE8" s="13"/>
    </row>
    <row r="9" spans="1:31" s="15" customFormat="1" ht="12" hidden="1">
      <c r="A9" s="13" t="s">
        <v>12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0"/>
      <c r="AE9" s="13"/>
    </row>
    <row r="10" spans="1:31" s="15" customFormat="1" ht="12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20"/>
      <c r="AE10" s="13"/>
    </row>
    <row r="11" spans="1:31" s="15" customFormat="1" ht="12">
      <c r="A11" s="13" t="s">
        <v>13</v>
      </c>
      <c r="B11" s="13"/>
      <c r="C11" s="64">
        <v>8293672</v>
      </c>
      <c r="D11" s="64"/>
      <c r="E11" s="64">
        <v>5278707</v>
      </c>
      <c r="F11" s="64"/>
      <c r="G11" s="64">
        <v>7837535</v>
      </c>
      <c r="H11" s="64"/>
      <c r="I11" s="64">
        <v>296210</v>
      </c>
      <c r="J11" s="64"/>
      <c r="K11" s="64">
        <v>237496</v>
      </c>
      <c r="L11" s="64"/>
      <c r="M11" s="64">
        <v>295619</v>
      </c>
      <c r="N11" s="64"/>
      <c r="O11" s="64">
        <v>0</v>
      </c>
      <c r="P11" s="64"/>
      <c r="Q11" s="64">
        <v>742400</v>
      </c>
      <c r="R11" s="64"/>
      <c r="S11" s="74">
        <v>0</v>
      </c>
      <c r="T11" s="74"/>
      <c r="U11" s="64">
        <v>0</v>
      </c>
      <c r="V11" s="64"/>
      <c r="W11" s="64">
        <v>75000</v>
      </c>
      <c r="X11" s="64"/>
      <c r="Y11" s="64">
        <v>23598</v>
      </c>
      <c r="Z11" s="64"/>
      <c r="AA11" s="64">
        <v>8738</v>
      </c>
      <c r="AB11" s="64"/>
      <c r="AC11" s="74">
        <f aca="true" t="shared" si="0" ref="AC11:AC23">SUM(C11:AA11)</f>
        <v>23088975</v>
      </c>
      <c r="AD11" s="20"/>
      <c r="AE11" s="13"/>
    </row>
    <row r="12" spans="1:31" s="15" customFormat="1" ht="12">
      <c r="A12" s="13" t="s">
        <v>14</v>
      </c>
      <c r="B12" s="13"/>
      <c r="C12" s="38">
        <v>4143084</v>
      </c>
      <c r="D12" s="38"/>
      <c r="E12" s="38">
        <v>1357188</v>
      </c>
      <c r="F12" s="38"/>
      <c r="G12" s="38">
        <v>4057997</v>
      </c>
      <c r="H12" s="38"/>
      <c r="I12" s="38">
        <v>111990</v>
      </c>
      <c r="J12" s="38"/>
      <c r="K12" s="38">
        <v>79895</v>
      </c>
      <c r="L12" s="38"/>
      <c r="M12" s="38">
        <v>294787</v>
      </c>
      <c r="N12" s="38"/>
      <c r="O12" s="38">
        <v>0</v>
      </c>
      <c r="P12" s="38"/>
      <c r="Q12" s="38">
        <v>25000</v>
      </c>
      <c r="R12" s="38"/>
      <c r="S12" s="38">
        <v>234148</v>
      </c>
      <c r="T12" s="38"/>
      <c r="U12" s="38">
        <v>0</v>
      </c>
      <c r="V12" s="38"/>
      <c r="W12" s="38">
        <v>345625</v>
      </c>
      <c r="X12" s="38"/>
      <c r="Y12" s="38">
        <v>10673</v>
      </c>
      <c r="Z12" s="38"/>
      <c r="AA12" s="38">
        <v>1558</v>
      </c>
      <c r="AB12" s="38"/>
      <c r="AC12" s="38">
        <f t="shared" si="0"/>
        <v>10661945</v>
      </c>
      <c r="AD12" s="20"/>
      <c r="AE12" s="13"/>
    </row>
    <row r="13" spans="1:31" s="15" customFormat="1" ht="12">
      <c r="A13" s="13" t="s">
        <v>15</v>
      </c>
      <c r="B13" s="13"/>
      <c r="C13" s="38">
        <v>6038260</v>
      </c>
      <c r="D13" s="38"/>
      <c r="E13" s="38">
        <v>3477932</v>
      </c>
      <c r="F13" s="38"/>
      <c r="G13" s="38">
        <v>6357910</v>
      </c>
      <c r="H13" s="38"/>
      <c r="I13" s="38">
        <v>196626</v>
      </c>
      <c r="J13" s="38"/>
      <c r="K13" s="38">
        <v>160258</v>
      </c>
      <c r="L13" s="38"/>
      <c r="M13" s="38">
        <v>1321503</v>
      </c>
      <c r="N13" s="38"/>
      <c r="O13" s="38">
        <v>0</v>
      </c>
      <c r="P13" s="38"/>
      <c r="Q13" s="38">
        <v>708880</v>
      </c>
      <c r="R13" s="38"/>
      <c r="S13" s="38">
        <v>598412</v>
      </c>
      <c r="T13" s="38"/>
      <c r="U13" s="38">
        <v>0</v>
      </c>
      <c r="V13" s="38"/>
      <c r="W13" s="38">
        <v>0</v>
      </c>
      <c r="X13" s="38"/>
      <c r="Y13" s="38">
        <v>161800</v>
      </c>
      <c r="Z13" s="38"/>
      <c r="AA13" s="38">
        <v>22478</v>
      </c>
      <c r="AB13" s="38"/>
      <c r="AC13" s="38">
        <f t="shared" si="0"/>
        <v>19044059</v>
      </c>
      <c r="AD13" s="20"/>
      <c r="AE13" s="13"/>
    </row>
    <row r="14" spans="1:31" s="15" customFormat="1" ht="12">
      <c r="A14" s="13" t="s">
        <v>16</v>
      </c>
      <c r="B14" s="13"/>
      <c r="C14" s="38">
        <v>3836421</v>
      </c>
      <c r="D14" s="38"/>
      <c r="E14" s="38">
        <v>2116442</v>
      </c>
      <c r="F14" s="38"/>
      <c r="G14" s="38">
        <v>2507139</v>
      </c>
      <c r="H14" s="38"/>
      <c r="I14" s="38">
        <v>0</v>
      </c>
      <c r="J14" s="38"/>
      <c r="K14" s="38">
        <v>457186</v>
      </c>
      <c r="L14" s="38"/>
      <c r="M14" s="38">
        <v>314395</v>
      </c>
      <c r="N14" s="38"/>
      <c r="O14" s="38">
        <v>0</v>
      </c>
      <c r="P14" s="38"/>
      <c r="Q14" s="38">
        <v>25840</v>
      </c>
      <c r="R14" s="38"/>
      <c r="S14" s="38">
        <v>0</v>
      </c>
      <c r="T14" s="38"/>
      <c r="U14" s="38">
        <v>161171</v>
      </c>
      <c r="V14" s="38"/>
      <c r="W14" s="38">
        <v>0</v>
      </c>
      <c r="X14" s="38"/>
      <c r="Y14" s="38">
        <v>96716</v>
      </c>
      <c r="Z14" s="38"/>
      <c r="AA14" s="38">
        <v>8063</v>
      </c>
      <c r="AB14" s="38"/>
      <c r="AC14" s="38">
        <f t="shared" si="0"/>
        <v>9523373</v>
      </c>
      <c r="AD14" s="20"/>
      <c r="AE14" s="13"/>
    </row>
    <row r="15" spans="1:31" s="15" customFormat="1" ht="12">
      <c r="A15" s="13" t="s">
        <v>17</v>
      </c>
      <c r="B15" s="13"/>
      <c r="C15" s="38">
        <v>2165457</v>
      </c>
      <c r="D15" s="38"/>
      <c r="E15" s="38">
        <v>1444704</v>
      </c>
      <c r="F15" s="38"/>
      <c r="G15" s="38">
        <v>1850057</v>
      </c>
      <c r="H15" s="38"/>
      <c r="I15" s="38">
        <v>147511</v>
      </c>
      <c r="J15" s="38"/>
      <c r="K15" s="38">
        <v>72103</v>
      </c>
      <c r="L15" s="38"/>
      <c r="M15" s="38">
        <v>215552</v>
      </c>
      <c r="N15" s="38"/>
      <c r="O15" s="38">
        <v>0</v>
      </c>
      <c r="P15" s="38"/>
      <c r="Q15" s="38">
        <v>0</v>
      </c>
      <c r="R15" s="38"/>
      <c r="S15" s="38">
        <v>882529</v>
      </c>
      <c r="T15" s="38"/>
      <c r="U15" s="38">
        <v>0</v>
      </c>
      <c r="V15" s="38"/>
      <c r="W15" s="38">
        <v>0</v>
      </c>
      <c r="X15" s="38"/>
      <c r="Y15" s="38">
        <v>0</v>
      </c>
      <c r="Z15" s="38"/>
      <c r="AA15" s="38">
        <v>0</v>
      </c>
      <c r="AB15" s="38"/>
      <c r="AC15" s="38">
        <f t="shared" si="0"/>
        <v>6777913</v>
      </c>
      <c r="AD15" s="20"/>
      <c r="AE15" s="13"/>
    </row>
    <row r="16" spans="1:31" s="15" customFormat="1" ht="12">
      <c r="A16" s="13" t="s">
        <v>18</v>
      </c>
      <c r="B16" s="13"/>
      <c r="C16" s="67">
        <v>5808254</v>
      </c>
      <c r="D16" s="67"/>
      <c r="E16" s="38">
        <v>2155997</v>
      </c>
      <c r="F16" s="38"/>
      <c r="G16" s="38">
        <v>5325439</v>
      </c>
      <c r="H16" s="38"/>
      <c r="I16" s="38">
        <v>318100</v>
      </c>
      <c r="J16" s="38"/>
      <c r="K16" s="38">
        <v>80196</v>
      </c>
      <c r="L16" s="38"/>
      <c r="M16" s="38">
        <v>265614</v>
      </c>
      <c r="N16" s="38"/>
      <c r="O16" s="38">
        <v>0</v>
      </c>
      <c r="P16" s="38"/>
      <c r="Q16" s="38">
        <v>0</v>
      </c>
      <c r="R16" s="38"/>
      <c r="S16" s="38">
        <v>70599</v>
      </c>
      <c r="T16" s="38"/>
      <c r="U16" s="38">
        <v>162400</v>
      </c>
      <c r="V16" s="38"/>
      <c r="W16" s="38">
        <v>377821</v>
      </c>
      <c r="X16" s="38"/>
      <c r="Y16" s="38">
        <v>101395</v>
      </c>
      <c r="Z16" s="38"/>
      <c r="AA16" s="38">
        <v>16611</v>
      </c>
      <c r="AB16" s="38"/>
      <c r="AC16" s="38">
        <f t="shared" si="0"/>
        <v>14682426</v>
      </c>
      <c r="AD16" s="20"/>
      <c r="AE16" s="13"/>
    </row>
    <row r="17" spans="1:31" s="15" customFormat="1" ht="12">
      <c r="A17" s="13" t="s">
        <v>135</v>
      </c>
      <c r="B17" s="13"/>
      <c r="C17" s="5">
        <v>4351516</v>
      </c>
      <c r="D17" s="5"/>
      <c r="E17" s="5">
        <v>1067298</v>
      </c>
      <c r="F17" s="5"/>
      <c r="G17" s="5">
        <v>2310641</v>
      </c>
      <c r="H17" s="5"/>
      <c r="I17" s="5">
        <v>183499</v>
      </c>
      <c r="J17" s="5"/>
      <c r="K17" s="5">
        <v>43599</v>
      </c>
      <c r="L17" s="5"/>
      <c r="M17" s="5">
        <v>201359</v>
      </c>
      <c r="N17" s="5"/>
      <c r="O17" s="5">
        <v>0</v>
      </c>
      <c r="P17" s="5"/>
      <c r="Q17" s="5">
        <v>0</v>
      </c>
      <c r="R17" s="5"/>
      <c r="S17" s="5">
        <v>0</v>
      </c>
      <c r="T17" s="5"/>
      <c r="U17" s="5">
        <v>0</v>
      </c>
      <c r="V17" s="5"/>
      <c r="W17" s="5">
        <v>0</v>
      </c>
      <c r="X17" s="5"/>
      <c r="Y17" s="5">
        <v>34537</v>
      </c>
      <c r="Z17" s="5"/>
      <c r="AA17" s="5">
        <v>4363</v>
      </c>
      <c r="AB17" s="5"/>
      <c r="AC17" s="5">
        <f t="shared" si="0"/>
        <v>8196812</v>
      </c>
      <c r="AD17" s="20"/>
      <c r="AE17" s="13"/>
    </row>
    <row r="18" spans="1:31" s="15" customFormat="1" ht="12">
      <c r="A18" s="13" t="s">
        <v>19</v>
      </c>
      <c r="B18" s="13"/>
      <c r="C18" s="38">
        <v>23371338</v>
      </c>
      <c r="D18" s="38"/>
      <c r="E18" s="38">
        <v>11002416</v>
      </c>
      <c r="F18" s="38"/>
      <c r="G18" s="38">
        <v>23595889</v>
      </c>
      <c r="H18" s="38"/>
      <c r="I18" s="38">
        <v>699836</v>
      </c>
      <c r="J18" s="38"/>
      <c r="K18" s="38">
        <v>405580</v>
      </c>
      <c r="L18" s="38"/>
      <c r="M18" s="38">
        <v>735596</v>
      </c>
      <c r="N18" s="38"/>
      <c r="O18" s="38">
        <v>0</v>
      </c>
      <c r="P18" s="38"/>
      <c r="Q18" s="38">
        <v>520722</v>
      </c>
      <c r="R18" s="38"/>
      <c r="S18" s="38">
        <v>1573832</v>
      </c>
      <c r="T18" s="38"/>
      <c r="U18" s="38">
        <v>0</v>
      </c>
      <c r="V18" s="38"/>
      <c r="W18" s="38">
        <v>0</v>
      </c>
      <c r="X18" s="38"/>
      <c r="Y18" s="38">
        <v>990000</v>
      </c>
      <c r="Z18" s="38"/>
      <c r="AA18" s="38">
        <v>1313932</v>
      </c>
      <c r="AB18" s="38"/>
      <c r="AC18" s="38">
        <f>SUM(C18:AA18)</f>
        <v>64209141</v>
      </c>
      <c r="AD18" s="20"/>
      <c r="AE18" s="13"/>
    </row>
    <row r="19" spans="1:31" s="15" customFormat="1" ht="12">
      <c r="A19" s="13" t="s">
        <v>20</v>
      </c>
      <c r="B19" s="13"/>
      <c r="C19" s="38">
        <v>2163058</v>
      </c>
      <c r="D19" s="38"/>
      <c r="E19" s="38">
        <v>619961</v>
      </c>
      <c r="F19" s="38"/>
      <c r="G19" s="38">
        <v>1696402</v>
      </c>
      <c r="H19" s="38"/>
      <c r="I19" s="38">
        <v>91692</v>
      </c>
      <c r="J19" s="38"/>
      <c r="K19" s="38">
        <v>38688</v>
      </c>
      <c r="L19" s="38"/>
      <c r="M19" s="38">
        <v>100851</v>
      </c>
      <c r="N19" s="38"/>
      <c r="O19" s="38">
        <v>9000</v>
      </c>
      <c r="P19" s="38"/>
      <c r="Q19" s="38">
        <v>0</v>
      </c>
      <c r="R19" s="38"/>
      <c r="S19" s="38">
        <f>202+312576</f>
        <v>312778</v>
      </c>
      <c r="T19" s="38"/>
      <c r="U19" s="38">
        <v>0</v>
      </c>
      <c r="V19" s="38"/>
      <c r="W19" s="38">
        <v>0</v>
      </c>
      <c r="X19" s="38"/>
      <c r="Y19" s="38">
        <v>40435</v>
      </c>
      <c r="Z19" s="38"/>
      <c r="AA19" s="38">
        <v>5334</v>
      </c>
      <c r="AB19" s="38"/>
      <c r="AC19" s="38">
        <f t="shared" si="0"/>
        <v>5078199</v>
      </c>
      <c r="AD19" s="20"/>
      <c r="AE19" s="13"/>
    </row>
    <row r="20" spans="1:31" s="15" customFormat="1" ht="12" hidden="1">
      <c r="A20" s="13" t="s">
        <v>177</v>
      </c>
      <c r="B20" s="13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20"/>
      <c r="AE20" s="13"/>
    </row>
    <row r="21" spans="1:31" s="15" customFormat="1" ht="12">
      <c r="A21" s="13" t="s">
        <v>21</v>
      </c>
      <c r="B21" s="13"/>
      <c r="C21" s="38">
        <v>3937753</v>
      </c>
      <c r="D21" s="38"/>
      <c r="E21" s="38">
        <v>7247602</v>
      </c>
      <c r="F21" s="38"/>
      <c r="G21" s="38">
        <v>5467444</v>
      </c>
      <c r="H21" s="38"/>
      <c r="I21" s="38">
        <v>9459218</v>
      </c>
      <c r="J21" s="38"/>
      <c r="K21" s="38">
        <v>401385</v>
      </c>
      <c r="L21" s="38"/>
      <c r="M21" s="38">
        <v>565910</v>
      </c>
      <c r="N21" s="38"/>
      <c r="O21" s="38">
        <v>0</v>
      </c>
      <c r="P21" s="38"/>
      <c r="Q21" s="38">
        <v>5725516</v>
      </c>
      <c r="R21" s="38"/>
      <c r="S21" s="38">
        <v>0</v>
      </c>
      <c r="T21" s="38"/>
      <c r="U21" s="38">
        <v>0</v>
      </c>
      <c r="V21" s="38"/>
      <c r="W21" s="38">
        <v>0</v>
      </c>
      <c r="X21" s="38"/>
      <c r="Y21" s="38">
        <v>0</v>
      </c>
      <c r="Z21" s="38"/>
      <c r="AA21" s="38">
        <v>0</v>
      </c>
      <c r="AB21" s="38"/>
      <c r="AC21" s="38">
        <f>SUM(C21:AA21)</f>
        <v>32804828</v>
      </c>
      <c r="AD21" s="20"/>
      <c r="AE21" s="13"/>
    </row>
    <row r="22" spans="1:31" s="15" customFormat="1" ht="12">
      <c r="A22" s="13" t="s">
        <v>194</v>
      </c>
      <c r="B22" s="13"/>
      <c r="C22" s="38">
        <v>12728376</v>
      </c>
      <c r="D22" s="38"/>
      <c r="E22" s="38">
        <v>6989620</v>
      </c>
      <c r="F22" s="38"/>
      <c r="G22" s="38">
        <v>18387528</v>
      </c>
      <c r="H22" s="38"/>
      <c r="I22" s="38">
        <v>0</v>
      </c>
      <c r="J22" s="38"/>
      <c r="K22" s="38">
        <v>289266</v>
      </c>
      <c r="L22" s="38"/>
      <c r="M22" s="38">
        <v>1049763</v>
      </c>
      <c r="N22" s="38"/>
      <c r="O22" s="38">
        <v>321188</v>
      </c>
      <c r="P22" s="38"/>
      <c r="Q22" s="38">
        <v>0</v>
      </c>
      <c r="R22" s="38"/>
      <c r="S22" s="38">
        <v>0</v>
      </c>
      <c r="T22" s="38"/>
      <c r="U22" s="38">
        <v>0</v>
      </c>
      <c r="V22" s="38"/>
      <c r="W22" s="38">
        <v>0</v>
      </c>
      <c r="X22" s="38"/>
      <c r="Y22" s="38">
        <v>0</v>
      </c>
      <c r="Z22" s="38"/>
      <c r="AA22" s="38">
        <v>0</v>
      </c>
      <c r="AB22" s="38"/>
      <c r="AC22" s="38">
        <f t="shared" si="0"/>
        <v>39765741</v>
      </c>
      <c r="AD22" s="20"/>
      <c r="AE22" s="13"/>
    </row>
    <row r="23" spans="1:31" s="15" customFormat="1" ht="12">
      <c r="A23" s="13" t="s">
        <v>23</v>
      </c>
      <c r="B23" s="13"/>
      <c r="C23" s="38">
        <v>4234149</v>
      </c>
      <c r="D23" s="38"/>
      <c r="E23" s="38">
        <v>2034743</v>
      </c>
      <c r="F23" s="38"/>
      <c r="G23" s="38">
        <v>3025956</v>
      </c>
      <c r="H23" s="38"/>
      <c r="I23" s="38">
        <v>84298</v>
      </c>
      <c r="J23" s="38"/>
      <c r="K23" s="38">
        <v>76835</v>
      </c>
      <c r="L23" s="38"/>
      <c r="M23" s="38">
        <v>369964</v>
      </c>
      <c r="N23" s="38"/>
      <c r="O23" s="38">
        <v>0</v>
      </c>
      <c r="P23" s="38"/>
      <c r="Q23" s="38">
        <v>0</v>
      </c>
      <c r="R23" s="38"/>
      <c r="S23" s="38">
        <v>808274</v>
      </c>
      <c r="T23" s="38"/>
      <c r="U23" s="38">
        <v>0</v>
      </c>
      <c r="V23" s="38"/>
      <c r="W23" s="38">
        <v>0</v>
      </c>
      <c r="X23" s="38"/>
      <c r="Y23" s="38">
        <v>0</v>
      </c>
      <c r="Z23" s="38"/>
      <c r="AA23" s="38">
        <v>3370</v>
      </c>
      <c r="AB23" s="38"/>
      <c r="AC23" s="38">
        <f t="shared" si="0"/>
        <v>10637589</v>
      </c>
      <c r="AD23" s="20"/>
      <c r="AE23" s="13"/>
    </row>
    <row r="24" spans="1:31" s="15" customFormat="1" ht="12" hidden="1">
      <c r="A24" s="13" t="s">
        <v>24</v>
      </c>
      <c r="B24" s="1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20"/>
      <c r="AE24" s="13"/>
    </row>
    <row r="25" spans="1:31" s="15" customFormat="1" ht="12" hidden="1">
      <c r="A25" s="13" t="s">
        <v>25</v>
      </c>
      <c r="B25" s="1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>
        <f>SUM(C25:AA25)</f>
        <v>0</v>
      </c>
      <c r="AD25" s="20"/>
      <c r="AE25" s="13"/>
    </row>
    <row r="26" spans="1:31" s="15" customFormat="1" ht="12">
      <c r="A26" s="13" t="s">
        <v>192</v>
      </c>
      <c r="B26" s="13"/>
      <c r="C26" s="38">
        <v>2639079</v>
      </c>
      <c r="D26" s="38"/>
      <c r="E26" s="38">
        <v>1865626</v>
      </c>
      <c r="F26" s="38"/>
      <c r="G26" s="38">
        <v>2307981</v>
      </c>
      <c r="H26" s="38"/>
      <c r="I26" s="38">
        <v>84454</v>
      </c>
      <c r="J26" s="38"/>
      <c r="K26" s="38">
        <v>344337</v>
      </c>
      <c r="L26" s="38"/>
      <c r="M26" s="38">
        <v>293627</v>
      </c>
      <c r="N26" s="38"/>
      <c r="O26" s="38">
        <v>0</v>
      </c>
      <c r="P26" s="38"/>
      <c r="Q26" s="38">
        <v>0</v>
      </c>
      <c r="R26" s="38"/>
      <c r="S26" s="38">
        <v>0</v>
      </c>
      <c r="T26" s="38"/>
      <c r="U26" s="38">
        <v>0</v>
      </c>
      <c r="V26" s="38"/>
      <c r="W26" s="38">
        <v>5462</v>
      </c>
      <c r="X26" s="38"/>
      <c r="Y26" s="38">
        <v>0</v>
      </c>
      <c r="Z26" s="38"/>
      <c r="AA26" s="38">
        <v>0</v>
      </c>
      <c r="AB26" s="38"/>
      <c r="AC26" s="38">
        <f aca="true" t="shared" si="1" ref="AC26:AC48">SUM(C26:AA26)</f>
        <v>7540566</v>
      </c>
      <c r="AD26" s="20"/>
      <c r="AE26" s="13"/>
    </row>
    <row r="27" spans="1:31" s="15" customFormat="1" ht="12">
      <c r="A27" s="13" t="s">
        <v>26</v>
      </c>
      <c r="B27" s="13"/>
      <c r="C27" s="38">
        <v>47564000</v>
      </c>
      <c r="D27" s="38"/>
      <c r="E27" s="38">
        <f>211365000</f>
        <v>211365000</v>
      </c>
      <c r="F27" s="38"/>
      <c r="G27" s="38">
        <v>0</v>
      </c>
      <c r="H27" s="38"/>
      <c r="I27" s="38">
        <v>0</v>
      </c>
      <c r="J27" s="38"/>
      <c r="K27" s="38">
        <f>10022000</f>
        <v>10022000</v>
      </c>
      <c r="L27" s="38"/>
      <c r="M27" s="38">
        <f>7488000</f>
        <v>7488000</v>
      </c>
      <c r="N27" s="38"/>
      <c r="O27" s="38">
        <v>3566000</v>
      </c>
      <c r="P27" s="38"/>
      <c r="Q27" s="38">
        <v>0</v>
      </c>
      <c r="R27" s="38"/>
      <c r="S27" s="38">
        <v>0</v>
      </c>
      <c r="T27" s="38"/>
      <c r="U27" s="38">
        <v>0</v>
      </c>
      <c r="V27" s="38"/>
      <c r="W27" s="38">
        <v>0</v>
      </c>
      <c r="X27" s="38"/>
      <c r="Y27" s="38">
        <v>485000</v>
      </c>
      <c r="Z27" s="38"/>
      <c r="AA27" s="38">
        <v>898000</v>
      </c>
      <c r="AB27" s="38"/>
      <c r="AC27" s="38">
        <f t="shared" si="1"/>
        <v>281388000</v>
      </c>
      <c r="AD27" s="20"/>
      <c r="AE27" s="13"/>
    </row>
    <row r="28" spans="1:31" s="15" customFormat="1" ht="12">
      <c r="A28" s="13" t="s">
        <v>27</v>
      </c>
      <c r="B28" s="13"/>
      <c r="C28" s="38">
        <v>5468999</v>
      </c>
      <c r="D28" s="38"/>
      <c r="E28" s="38">
        <v>0</v>
      </c>
      <c r="F28" s="38"/>
      <c r="G28" s="38">
        <v>3668701</v>
      </c>
      <c r="H28" s="38"/>
      <c r="I28" s="38">
        <v>156397</v>
      </c>
      <c r="J28" s="38"/>
      <c r="K28" s="38">
        <v>24632</v>
      </c>
      <c r="L28" s="38"/>
      <c r="M28" s="38">
        <v>296519</v>
      </c>
      <c r="N28" s="38"/>
      <c r="O28" s="38">
        <v>348626</v>
      </c>
      <c r="P28" s="38"/>
      <c r="Q28" s="38">
        <v>0</v>
      </c>
      <c r="R28" s="38"/>
      <c r="S28" s="38">
        <v>0</v>
      </c>
      <c r="T28" s="38"/>
      <c r="U28" s="38">
        <v>0</v>
      </c>
      <c r="V28" s="38"/>
      <c r="W28" s="38">
        <v>0</v>
      </c>
      <c r="X28" s="38"/>
      <c r="Y28" s="38">
        <v>0</v>
      </c>
      <c r="Z28" s="38"/>
      <c r="AA28" s="38">
        <v>0</v>
      </c>
      <c r="AB28" s="38"/>
      <c r="AC28" s="38">
        <f t="shared" si="1"/>
        <v>9963874</v>
      </c>
      <c r="AD28" s="20"/>
      <c r="AE28" s="13"/>
    </row>
    <row r="29" spans="1:31" s="15" customFormat="1" ht="12">
      <c r="A29" s="13" t="s">
        <v>28</v>
      </c>
      <c r="B29" s="13"/>
      <c r="C29" s="38">
        <v>2601348</v>
      </c>
      <c r="D29" s="38"/>
      <c r="E29" s="38">
        <v>1099275</v>
      </c>
      <c r="F29" s="38"/>
      <c r="G29" s="38">
        <v>1732018</v>
      </c>
      <c r="H29" s="38"/>
      <c r="I29" s="38">
        <v>255984</v>
      </c>
      <c r="J29" s="38"/>
      <c r="K29" s="38">
        <v>57304</v>
      </c>
      <c r="L29" s="38"/>
      <c r="M29" s="38">
        <v>438949</v>
      </c>
      <c r="N29" s="38"/>
      <c r="O29" s="38">
        <v>0</v>
      </c>
      <c r="P29" s="38"/>
      <c r="Q29" s="38">
        <v>0</v>
      </c>
      <c r="R29" s="38"/>
      <c r="S29" s="38">
        <v>1667869</v>
      </c>
      <c r="T29" s="38"/>
      <c r="U29" s="38">
        <v>0</v>
      </c>
      <c r="V29" s="38"/>
      <c r="W29" s="38">
        <v>0</v>
      </c>
      <c r="X29" s="38"/>
      <c r="Y29" s="38">
        <v>0</v>
      </c>
      <c r="Z29" s="38"/>
      <c r="AA29" s="38">
        <v>0</v>
      </c>
      <c r="AB29" s="38"/>
      <c r="AC29" s="38">
        <f t="shared" si="1"/>
        <v>7852747</v>
      </c>
      <c r="AD29" s="20"/>
      <c r="AE29" s="13"/>
    </row>
    <row r="30" spans="1:31" s="15" customFormat="1" ht="12">
      <c r="A30" s="13" t="s">
        <v>29</v>
      </c>
      <c r="B30" s="13"/>
      <c r="C30" s="38">
        <v>9054043</v>
      </c>
      <c r="D30" s="38"/>
      <c r="E30" s="38">
        <v>4563148</v>
      </c>
      <c r="F30" s="38"/>
      <c r="G30" s="38">
        <v>15100372</v>
      </c>
      <c r="H30" s="38"/>
      <c r="I30" s="38">
        <v>180602</v>
      </c>
      <c r="J30" s="38"/>
      <c r="K30" s="38">
        <v>0</v>
      </c>
      <c r="L30" s="38"/>
      <c r="M30" s="38">
        <v>314349</v>
      </c>
      <c r="N30" s="38"/>
      <c r="O30" s="38">
        <v>0</v>
      </c>
      <c r="P30" s="38"/>
      <c r="Q30" s="38">
        <v>0</v>
      </c>
      <c r="R30" s="38"/>
      <c r="S30" s="38">
        <v>0</v>
      </c>
      <c r="T30" s="38"/>
      <c r="U30" s="38">
        <v>0</v>
      </c>
      <c r="V30" s="38"/>
      <c r="W30" s="38">
        <v>488604</v>
      </c>
      <c r="X30" s="38"/>
      <c r="Y30" s="38">
        <v>480000</v>
      </c>
      <c r="Z30" s="38"/>
      <c r="AA30" s="38">
        <v>1172922</v>
      </c>
      <c r="AB30" s="38"/>
      <c r="AC30" s="38">
        <f t="shared" si="1"/>
        <v>31354040</v>
      </c>
      <c r="AD30" s="20"/>
      <c r="AE30" s="13"/>
    </row>
    <row r="31" spans="1:31" s="15" customFormat="1" ht="12">
      <c r="A31" s="13" t="s">
        <v>30</v>
      </c>
      <c r="B31" s="13"/>
      <c r="C31" s="38">
        <v>7993986</v>
      </c>
      <c r="D31" s="38"/>
      <c r="E31" s="38">
        <v>4095297</v>
      </c>
      <c r="F31" s="38"/>
      <c r="G31" s="38">
        <v>7531096</v>
      </c>
      <c r="H31" s="38"/>
      <c r="I31" s="38">
        <v>451217</v>
      </c>
      <c r="J31" s="38"/>
      <c r="K31" s="38">
        <v>192630</v>
      </c>
      <c r="L31" s="38"/>
      <c r="M31" s="38">
        <v>609119</v>
      </c>
      <c r="N31" s="38"/>
      <c r="O31" s="38">
        <v>0</v>
      </c>
      <c r="P31" s="38"/>
      <c r="Q31" s="38">
        <v>378319</v>
      </c>
      <c r="R31" s="38"/>
      <c r="S31" s="38">
        <v>0</v>
      </c>
      <c r="T31" s="38"/>
      <c r="U31" s="38">
        <v>67969</v>
      </c>
      <c r="V31" s="38"/>
      <c r="W31" s="38">
        <v>0</v>
      </c>
      <c r="X31" s="38"/>
      <c r="Y31" s="38">
        <v>94375</v>
      </c>
      <c r="Z31" s="38"/>
      <c r="AA31" s="38">
        <v>5501</v>
      </c>
      <c r="AB31" s="38"/>
      <c r="AC31" s="38">
        <f t="shared" si="1"/>
        <v>21419509</v>
      </c>
      <c r="AD31" s="20"/>
      <c r="AE31" s="13"/>
    </row>
    <row r="32" spans="1:31" s="15" customFormat="1" ht="12">
      <c r="A32" s="13" t="s">
        <v>31</v>
      </c>
      <c r="B32" s="13"/>
      <c r="C32" s="38">
        <v>7245456</v>
      </c>
      <c r="D32" s="38"/>
      <c r="E32" s="38">
        <v>3478811</v>
      </c>
      <c r="F32" s="38"/>
      <c r="G32" s="38">
        <v>8477111</v>
      </c>
      <c r="H32" s="38"/>
      <c r="I32" s="38">
        <v>0</v>
      </c>
      <c r="J32" s="38"/>
      <c r="K32" s="38">
        <v>715492</v>
      </c>
      <c r="L32" s="38"/>
      <c r="M32" s="38">
        <v>688532</v>
      </c>
      <c r="N32" s="38"/>
      <c r="O32" s="38">
        <v>0</v>
      </c>
      <c r="P32" s="38"/>
      <c r="Q32" s="38">
        <v>0</v>
      </c>
      <c r="R32" s="38"/>
      <c r="S32" s="38">
        <f>129908+708833</f>
        <v>838741</v>
      </c>
      <c r="T32" s="38"/>
      <c r="U32" s="38">
        <v>775316</v>
      </c>
      <c r="V32" s="38"/>
      <c r="W32" s="38">
        <v>1054141</v>
      </c>
      <c r="X32" s="38"/>
      <c r="Y32" s="38">
        <v>285865</v>
      </c>
      <c r="Z32" s="38"/>
      <c r="AA32" s="38">
        <v>23606</v>
      </c>
      <c r="AB32" s="38"/>
      <c r="AC32" s="38">
        <f t="shared" si="1"/>
        <v>23583071</v>
      </c>
      <c r="AD32" s="20"/>
      <c r="AE32" s="13"/>
    </row>
    <row r="33" spans="1:31" s="15" customFormat="1" ht="12">
      <c r="A33" s="13" t="s">
        <v>32</v>
      </c>
      <c r="B33" s="13"/>
      <c r="C33" s="38">
        <v>2742892</v>
      </c>
      <c r="D33" s="38"/>
      <c r="E33" s="38">
        <v>1492560</v>
      </c>
      <c r="F33" s="38"/>
      <c r="G33" s="38">
        <v>2434461</v>
      </c>
      <c r="H33" s="38"/>
      <c r="I33" s="38">
        <v>708091</v>
      </c>
      <c r="J33" s="38"/>
      <c r="K33" s="38">
        <v>89156</v>
      </c>
      <c r="L33" s="38"/>
      <c r="M33" s="38">
        <v>332817</v>
      </c>
      <c r="N33" s="38"/>
      <c r="O33" s="38">
        <v>0</v>
      </c>
      <c r="P33" s="38"/>
      <c r="Q33" s="38">
        <v>463017</v>
      </c>
      <c r="R33" s="38"/>
      <c r="S33" s="38">
        <v>405167</v>
      </c>
      <c r="T33" s="38"/>
      <c r="U33" s="38">
        <v>129462</v>
      </c>
      <c r="V33" s="38"/>
      <c r="W33" s="38">
        <v>0</v>
      </c>
      <c r="X33" s="38"/>
      <c r="Y33" s="38">
        <v>10514</v>
      </c>
      <c r="Z33" s="38"/>
      <c r="AA33" s="38">
        <v>2961</v>
      </c>
      <c r="AB33" s="38"/>
      <c r="AC33" s="38">
        <f>SUM(C33:AA33)</f>
        <v>8811098</v>
      </c>
      <c r="AD33" s="20"/>
      <c r="AE33" s="13"/>
    </row>
    <row r="34" spans="1:31" s="15" customFormat="1" ht="12">
      <c r="A34" s="13" t="s">
        <v>33</v>
      </c>
      <c r="B34" s="13"/>
      <c r="C34" s="67">
        <v>50836000</v>
      </c>
      <c r="D34" s="67"/>
      <c r="E34" s="67">
        <v>56942000</v>
      </c>
      <c r="F34" s="67"/>
      <c r="G34" s="67">
        <v>85806000</v>
      </c>
      <c r="H34" s="67"/>
      <c r="I34" s="67">
        <v>446000</v>
      </c>
      <c r="J34" s="67"/>
      <c r="K34" s="67">
        <v>0</v>
      </c>
      <c r="L34" s="67"/>
      <c r="M34" s="67">
        <v>3460000</v>
      </c>
      <c r="N34" s="67"/>
      <c r="O34" s="67">
        <v>836000</v>
      </c>
      <c r="P34" s="67"/>
      <c r="Q34" s="67">
        <v>0</v>
      </c>
      <c r="R34" s="67"/>
      <c r="S34" s="67">
        <v>1131000</v>
      </c>
      <c r="T34" s="67"/>
      <c r="U34" s="67">
        <v>0</v>
      </c>
      <c r="V34" s="67"/>
      <c r="W34" s="67">
        <v>5537000</v>
      </c>
      <c r="X34" s="67"/>
      <c r="Y34" s="67">
        <v>351000</v>
      </c>
      <c r="Z34" s="67"/>
      <c r="AA34" s="67">
        <v>79000</v>
      </c>
      <c r="AB34" s="67"/>
      <c r="AC34" s="38">
        <f t="shared" si="1"/>
        <v>205424000</v>
      </c>
      <c r="AD34" s="20"/>
      <c r="AE34" s="13"/>
    </row>
    <row r="35" spans="1:31" s="15" customFormat="1" ht="12">
      <c r="A35" s="13" t="s">
        <v>34</v>
      </c>
      <c r="B35" s="13"/>
      <c r="C35" s="38">
        <v>3020477</v>
      </c>
      <c r="D35" s="38"/>
      <c r="E35" s="38">
        <v>1227323</v>
      </c>
      <c r="F35" s="38"/>
      <c r="G35" s="38">
        <v>2661101</v>
      </c>
      <c r="H35" s="38"/>
      <c r="I35" s="38">
        <v>118998</v>
      </c>
      <c r="J35" s="38"/>
      <c r="K35" s="38">
        <v>62989</v>
      </c>
      <c r="L35" s="38"/>
      <c r="M35" s="38">
        <v>541437</v>
      </c>
      <c r="N35" s="38"/>
      <c r="O35" s="38">
        <v>0</v>
      </c>
      <c r="P35" s="38"/>
      <c r="Q35" s="38">
        <v>0</v>
      </c>
      <c r="R35" s="38"/>
      <c r="S35" s="38">
        <v>1028069</v>
      </c>
      <c r="T35" s="38"/>
      <c r="U35" s="38">
        <v>0</v>
      </c>
      <c r="V35" s="38"/>
      <c r="W35" s="38">
        <v>675211</v>
      </c>
      <c r="X35" s="38"/>
      <c r="Y35" s="38">
        <v>0</v>
      </c>
      <c r="Z35" s="38"/>
      <c r="AA35" s="38">
        <v>0</v>
      </c>
      <c r="AB35" s="38"/>
      <c r="AC35" s="38">
        <f t="shared" si="1"/>
        <v>9335605</v>
      </c>
      <c r="AD35" s="20"/>
      <c r="AE35" s="13"/>
    </row>
    <row r="36" spans="1:31" s="15" customFormat="1" ht="12">
      <c r="A36" s="13" t="s">
        <v>35</v>
      </c>
      <c r="B36" s="13"/>
      <c r="C36" s="38">
        <v>1485132</v>
      </c>
      <c r="D36" s="38"/>
      <c r="E36" s="38">
        <v>796038</v>
      </c>
      <c r="F36" s="38"/>
      <c r="G36" s="38">
        <v>2025645</v>
      </c>
      <c r="H36" s="38"/>
      <c r="I36" s="38">
        <v>90960</v>
      </c>
      <c r="J36" s="38"/>
      <c r="K36" s="38">
        <v>55058</v>
      </c>
      <c r="L36" s="38"/>
      <c r="M36" s="38">
        <v>253317</v>
      </c>
      <c r="N36" s="38"/>
      <c r="O36" s="38">
        <v>0</v>
      </c>
      <c r="P36" s="38"/>
      <c r="Q36" s="38">
        <v>0</v>
      </c>
      <c r="R36" s="38"/>
      <c r="S36" s="38">
        <v>1080558</v>
      </c>
      <c r="T36" s="38"/>
      <c r="U36" s="38">
        <v>22686</v>
      </c>
      <c r="V36" s="38"/>
      <c r="W36" s="38">
        <v>0</v>
      </c>
      <c r="X36" s="38"/>
      <c r="Y36" s="38">
        <v>5137</v>
      </c>
      <c r="Z36" s="38"/>
      <c r="AA36" s="38">
        <v>58</v>
      </c>
      <c r="AB36" s="38"/>
      <c r="AC36" s="38">
        <f t="shared" si="1"/>
        <v>5814589</v>
      </c>
      <c r="AD36" s="20"/>
      <c r="AE36" s="13"/>
    </row>
    <row r="37" spans="1:31" s="15" customFormat="1" ht="12">
      <c r="A37" s="13" t="s">
        <v>36</v>
      </c>
      <c r="B37" s="13"/>
      <c r="C37" s="38">
        <v>5325733</v>
      </c>
      <c r="D37" s="38"/>
      <c r="E37" s="38">
        <v>2227574</v>
      </c>
      <c r="F37" s="38"/>
      <c r="G37" s="38">
        <v>7238013</v>
      </c>
      <c r="H37" s="38"/>
      <c r="I37" s="38">
        <v>133849</v>
      </c>
      <c r="J37" s="38"/>
      <c r="K37" s="38">
        <v>0</v>
      </c>
      <c r="L37" s="38"/>
      <c r="M37" s="38">
        <v>267440</v>
      </c>
      <c r="N37" s="38"/>
      <c r="O37" s="38">
        <v>1354015</v>
      </c>
      <c r="P37" s="38"/>
      <c r="Q37" s="38">
        <v>0</v>
      </c>
      <c r="R37" s="38"/>
      <c r="S37" s="38">
        <v>0</v>
      </c>
      <c r="T37" s="38"/>
      <c r="U37" s="38">
        <v>0</v>
      </c>
      <c r="V37" s="38"/>
      <c r="W37" s="38">
        <v>587607</v>
      </c>
      <c r="X37" s="38"/>
      <c r="Y37" s="38">
        <v>0</v>
      </c>
      <c r="Z37" s="38"/>
      <c r="AA37" s="38">
        <v>0</v>
      </c>
      <c r="AB37" s="38"/>
      <c r="AC37" s="38">
        <f t="shared" si="1"/>
        <v>17134231</v>
      </c>
      <c r="AD37" s="20"/>
      <c r="AE37" s="13"/>
    </row>
    <row r="38" spans="1:31" s="15" customFormat="1" ht="12">
      <c r="A38" s="13" t="s">
        <v>195</v>
      </c>
      <c r="B38" s="13"/>
      <c r="C38" s="38">
        <v>13657999</v>
      </c>
      <c r="D38" s="38"/>
      <c r="E38" s="38">
        <v>6132888</v>
      </c>
      <c r="F38" s="38"/>
      <c r="G38" s="38">
        <v>14189867</v>
      </c>
      <c r="H38" s="38"/>
      <c r="I38" s="38">
        <v>778043</v>
      </c>
      <c r="J38" s="38"/>
      <c r="K38" s="38">
        <v>269073</v>
      </c>
      <c r="L38" s="38"/>
      <c r="M38" s="38">
        <v>378272</v>
      </c>
      <c r="N38" s="38"/>
      <c r="O38" s="38">
        <v>500757</v>
      </c>
      <c r="P38" s="38"/>
      <c r="Q38" s="38">
        <v>2512047</v>
      </c>
      <c r="R38" s="38"/>
      <c r="S38" s="38">
        <v>0</v>
      </c>
      <c r="T38" s="38"/>
      <c r="U38" s="38">
        <v>0</v>
      </c>
      <c r="V38" s="38"/>
      <c r="W38" s="38">
        <v>0</v>
      </c>
      <c r="X38" s="38"/>
      <c r="Y38" s="38">
        <v>9766</v>
      </c>
      <c r="Z38" s="38"/>
      <c r="AA38" s="38">
        <v>4108</v>
      </c>
      <c r="AB38" s="38"/>
      <c r="AC38" s="38">
        <f t="shared" si="1"/>
        <v>38432820</v>
      </c>
      <c r="AD38" s="20"/>
      <c r="AE38" s="13"/>
    </row>
    <row r="39" spans="1:31" s="15" customFormat="1" ht="12">
      <c r="A39" s="13" t="s">
        <v>37</v>
      </c>
      <c r="B39" s="13"/>
      <c r="C39" s="38">
        <v>3946095</v>
      </c>
      <c r="D39" s="38"/>
      <c r="E39" s="38">
        <v>1926514</v>
      </c>
      <c r="F39" s="38"/>
      <c r="G39" s="38">
        <v>2675382</v>
      </c>
      <c r="H39" s="38"/>
      <c r="I39" s="38">
        <v>289947</v>
      </c>
      <c r="J39" s="38"/>
      <c r="K39" s="38">
        <v>48271</v>
      </c>
      <c r="L39" s="38"/>
      <c r="M39" s="38">
        <v>224887</v>
      </c>
      <c r="N39" s="38"/>
      <c r="O39" s="38">
        <v>61194</v>
      </c>
      <c r="P39" s="38"/>
      <c r="Q39" s="38">
        <v>0</v>
      </c>
      <c r="R39" s="38"/>
      <c r="S39" s="38">
        <v>387471</v>
      </c>
      <c r="T39" s="38"/>
      <c r="U39" s="38">
        <v>0</v>
      </c>
      <c r="V39" s="38"/>
      <c r="W39" s="38">
        <v>0</v>
      </c>
      <c r="X39" s="38"/>
      <c r="Y39" s="38">
        <v>37485</v>
      </c>
      <c r="Z39" s="38"/>
      <c r="AA39" s="38">
        <v>10695</v>
      </c>
      <c r="AB39" s="38"/>
      <c r="AC39" s="38">
        <f t="shared" si="1"/>
        <v>9607941</v>
      </c>
      <c r="AD39" s="20"/>
      <c r="AE39" s="13"/>
    </row>
    <row r="40" spans="1:31" s="15" customFormat="1" ht="12">
      <c r="A40" s="13" t="s">
        <v>38</v>
      </c>
      <c r="B40" s="13"/>
      <c r="C40" s="38">
        <v>49508000</v>
      </c>
      <c r="D40" s="38"/>
      <c r="E40" s="38">
        <v>90708000</v>
      </c>
      <c r="F40" s="38"/>
      <c r="G40" s="38">
        <v>74945000</v>
      </c>
      <c r="H40" s="38"/>
      <c r="I40" s="38">
        <v>2173000</v>
      </c>
      <c r="J40" s="38"/>
      <c r="K40" s="38">
        <v>0</v>
      </c>
      <c r="L40" s="38"/>
      <c r="M40" s="38">
        <v>934000</v>
      </c>
      <c r="N40" s="38"/>
      <c r="O40" s="38">
        <v>670000</v>
      </c>
      <c r="P40" s="38"/>
      <c r="Q40" s="38">
        <v>0</v>
      </c>
      <c r="R40" s="38"/>
      <c r="S40" s="38">
        <v>0</v>
      </c>
      <c r="T40" s="38"/>
      <c r="U40" s="38">
        <v>0</v>
      </c>
      <c r="V40" s="38"/>
      <c r="W40" s="38">
        <v>0</v>
      </c>
      <c r="X40" s="38"/>
      <c r="Y40" s="38">
        <v>0</v>
      </c>
      <c r="Z40" s="38"/>
      <c r="AA40" s="38">
        <v>0</v>
      </c>
      <c r="AB40" s="38"/>
      <c r="AC40" s="38">
        <f t="shared" si="1"/>
        <v>218938000</v>
      </c>
      <c r="AD40" s="20"/>
      <c r="AE40" s="13"/>
    </row>
    <row r="41" spans="1:31" s="15" customFormat="1" ht="12">
      <c r="A41" s="13" t="s">
        <v>39</v>
      </c>
      <c r="B41" s="13"/>
      <c r="C41" s="38">
        <v>4590907</v>
      </c>
      <c r="D41" s="38"/>
      <c r="E41" s="38">
        <v>2595037</v>
      </c>
      <c r="F41" s="38"/>
      <c r="G41" s="38">
        <v>5282902</v>
      </c>
      <c r="H41" s="38"/>
      <c r="I41" s="38">
        <v>129334</v>
      </c>
      <c r="J41" s="38"/>
      <c r="K41" s="38">
        <v>290634</v>
      </c>
      <c r="L41" s="38"/>
      <c r="M41" s="38">
        <v>405895</v>
      </c>
      <c r="N41" s="38"/>
      <c r="O41" s="38">
        <v>0</v>
      </c>
      <c r="P41" s="38"/>
      <c r="Q41" s="38">
        <v>0</v>
      </c>
      <c r="R41" s="38"/>
      <c r="S41" s="38">
        <v>0</v>
      </c>
      <c r="T41" s="38"/>
      <c r="U41" s="38">
        <v>0</v>
      </c>
      <c r="V41" s="38"/>
      <c r="W41" s="38">
        <v>635895</v>
      </c>
      <c r="X41" s="38"/>
      <c r="Y41" s="38">
        <v>37433</v>
      </c>
      <c r="Z41" s="38"/>
      <c r="AA41" s="38">
        <v>6217</v>
      </c>
      <c r="AB41" s="38"/>
      <c r="AC41" s="38">
        <f t="shared" si="1"/>
        <v>13974254</v>
      </c>
      <c r="AD41" s="20"/>
      <c r="AE41" s="13"/>
    </row>
    <row r="42" spans="1:31" s="15" customFormat="1" ht="12" hidden="1">
      <c r="A42" s="13" t="s">
        <v>169</v>
      </c>
      <c r="B42" s="1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20"/>
      <c r="AE42" s="13"/>
    </row>
    <row r="43" spans="1:31" s="15" customFormat="1" ht="12" hidden="1">
      <c r="A43" s="13" t="s">
        <v>40</v>
      </c>
      <c r="B43" s="1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20"/>
      <c r="AE43" s="13"/>
    </row>
    <row r="44" spans="1:31" s="15" customFormat="1" ht="12">
      <c r="A44" s="13" t="s">
        <v>41</v>
      </c>
      <c r="B44" s="13"/>
      <c r="C44" s="38">
        <v>1359887</v>
      </c>
      <c r="D44" s="38"/>
      <c r="E44" s="38">
        <v>868887</v>
      </c>
      <c r="F44" s="38"/>
      <c r="G44" s="38">
        <v>1881925</v>
      </c>
      <c r="H44" s="38"/>
      <c r="I44" s="38">
        <v>360716</v>
      </c>
      <c r="J44" s="38"/>
      <c r="K44" s="38">
        <v>18502</v>
      </c>
      <c r="L44" s="38"/>
      <c r="M44" s="38">
        <v>414119</v>
      </c>
      <c r="N44" s="38"/>
      <c r="O44" s="38">
        <v>2493</v>
      </c>
      <c r="P44" s="38"/>
      <c r="Q44" s="38">
        <v>0</v>
      </c>
      <c r="R44" s="38"/>
      <c r="S44" s="38">
        <v>1438433</v>
      </c>
      <c r="T44" s="38"/>
      <c r="U44" s="38">
        <v>24260</v>
      </c>
      <c r="V44" s="38"/>
      <c r="W44" s="38">
        <v>0</v>
      </c>
      <c r="X44" s="38"/>
      <c r="Y44" s="38">
        <v>0</v>
      </c>
      <c r="Z44" s="38"/>
      <c r="AA44" s="38">
        <v>0</v>
      </c>
      <c r="AB44" s="38"/>
      <c r="AC44" s="38">
        <f t="shared" si="1"/>
        <v>6369222</v>
      </c>
      <c r="AD44" s="20"/>
      <c r="AE44" s="13"/>
    </row>
    <row r="45" spans="1:31" s="15" customFormat="1" ht="12" hidden="1">
      <c r="A45" s="13" t="s">
        <v>42</v>
      </c>
      <c r="B45" s="1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20"/>
      <c r="AE45" s="13"/>
    </row>
    <row r="46" spans="1:31" s="15" customFormat="1" ht="12">
      <c r="A46" s="13" t="s">
        <v>43</v>
      </c>
      <c r="B46" s="13"/>
      <c r="C46" s="38">
        <v>1867796</v>
      </c>
      <c r="D46" s="38"/>
      <c r="E46" s="38">
        <v>1094209</v>
      </c>
      <c r="F46" s="38"/>
      <c r="G46" s="38">
        <v>1432975</v>
      </c>
      <c r="H46" s="38"/>
      <c r="I46" s="38">
        <v>21597</v>
      </c>
      <c r="J46" s="38"/>
      <c r="K46" s="38">
        <v>43456</v>
      </c>
      <c r="L46" s="38"/>
      <c r="M46" s="38">
        <v>161970</v>
      </c>
      <c r="N46" s="38"/>
      <c r="O46" s="38">
        <v>66989</v>
      </c>
      <c r="P46" s="38"/>
      <c r="Q46" s="38">
        <v>213179</v>
      </c>
      <c r="R46" s="38"/>
      <c r="S46" s="38">
        <v>464880</v>
      </c>
      <c r="T46" s="38"/>
      <c r="U46" s="38">
        <v>0</v>
      </c>
      <c r="V46" s="38"/>
      <c r="W46" s="38">
        <v>0</v>
      </c>
      <c r="X46" s="38"/>
      <c r="Y46" s="38">
        <v>0</v>
      </c>
      <c r="Z46" s="38"/>
      <c r="AA46" s="38">
        <v>0</v>
      </c>
      <c r="AB46" s="38"/>
      <c r="AC46" s="38">
        <f t="shared" si="1"/>
        <v>5367051</v>
      </c>
      <c r="AD46" s="20"/>
      <c r="AE46" s="13"/>
    </row>
    <row r="47" spans="1:31" s="15" customFormat="1" ht="12">
      <c r="A47" s="13" t="s">
        <v>44</v>
      </c>
      <c r="B47" s="13"/>
      <c r="C47" s="38">
        <f>2810416</f>
        <v>2810416</v>
      </c>
      <c r="D47" s="38"/>
      <c r="E47" s="38">
        <v>1193397</v>
      </c>
      <c r="F47" s="38"/>
      <c r="G47" s="38">
        <v>2686904</v>
      </c>
      <c r="H47" s="38"/>
      <c r="I47" s="38">
        <v>38070</v>
      </c>
      <c r="J47" s="38"/>
      <c r="K47" s="38">
        <v>56180</v>
      </c>
      <c r="L47" s="38"/>
      <c r="M47" s="38">
        <v>220915</v>
      </c>
      <c r="N47" s="38"/>
      <c r="O47" s="38">
        <v>0</v>
      </c>
      <c r="P47" s="38"/>
      <c r="Q47" s="38">
        <v>338987</v>
      </c>
      <c r="R47" s="38"/>
      <c r="S47" s="38">
        <v>0</v>
      </c>
      <c r="T47" s="38"/>
      <c r="U47" s="38">
        <v>0</v>
      </c>
      <c r="V47" s="38"/>
      <c r="W47" s="38">
        <v>221316</v>
      </c>
      <c r="X47" s="38"/>
      <c r="Y47" s="38">
        <v>0</v>
      </c>
      <c r="Z47" s="38"/>
      <c r="AA47" s="38">
        <v>0</v>
      </c>
      <c r="AB47" s="38"/>
      <c r="AC47" s="38">
        <f t="shared" si="1"/>
        <v>7566185</v>
      </c>
      <c r="AD47" s="20"/>
      <c r="AE47" s="13"/>
    </row>
    <row r="48" spans="1:31" s="15" customFormat="1" ht="12">
      <c r="A48" s="13" t="s">
        <v>45</v>
      </c>
      <c r="B48" s="13"/>
      <c r="C48" s="38">
        <v>4511785</v>
      </c>
      <c r="D48" s="38"/>
      <c r="E48" s="38">
        <v>2034151</v>
      </c>
      <c r="F48" s="38"/>
      <c r="G48" s="38">
        <v>4506574</v>
      </c>
      <c r="H48" s="38"/>
      <c r="I48" s="38">
        <v>0</v>
      </c>
      <c r="J48" s="38"/>
      <c r="K48" s="38">
        <v>93397</v>
      </c>
      <c r="L48" s="38"/>
      <c r="M48" s="38">
        <v>1132443</v>
      </c>
      <c r="N48" s="38"/>
      <c r="O48" s="38">
        <v>0</v>
      </c>
      <c r="P48" s="38"/>
      <c r="Q48" s="38">
        <v>0</v>
      </c>
      <c r="R48" s="38"/>
      <c r="S48" s="38">
        <v>386429</v>
      </c>
      <c r="T48" s="38"/>
      <c r="U48" s="38">
        <v>207012</v>
      </c>
      <c r="V48" s="38"/>
      <c r="W48" s="38">
        <v>0</v>
      </c>
      <c r="X48" s="38"/>
      <c r="Y48" s="38">
        <v>0</v>
      </c>
      <c r="Z48" s="38"/>
      <c r="AA48" s="38">
        <v>0</v>
      </c>
      <c r="AB48" s="38"/>
      <c r="AC48" s="38">
        <f t="shared" si="1"/>
        <v>12871791</v>
      </c>
      <c r="AD48" s="20"/>
      <c r="AE48" s="13"/>
    </row>
    <row r="49" spans="1:31" s="15" customFormat="1" ht="12">
      <c r="A49" s="13" t="s">
        <v>46</v>
      </c>
      <c r="B49" s="13"/>
      <c r="C49" s="38">
        <v>2850567</v>
      </c>
      <c r="D49" s="38"/>
      <c r="E49" s="38">
        <v>826688</v>
      </c>
      <c r="F49" s="38"/>
      <c r="G49" s="38">
        <v>1330666</v>
      </c>
      <c r="H49" s="38"/>
      <c r="I49" s="38">
        <v>0</v>
      </c>
      <c r="J49" s="38"/>
      <c r="K49" s="38">
        <v>141489</v>
      </c>
      <c r="L49" s="38"/>
      <c r="M49" s="38">
        <v>395589</v>
      </c>
      <c r="N49" s="38"/>
      <c r="O49" s="38">
        <v>0</v>
      </c>
      <c r="P49" s="38"/>
      <c r="Q49" s="38">
        <v>0</v>
      </c>
      <c r="R49" s="38"/>
      <c r="S49" s="38">
        <v>81659</v>
      </c>
      <c r="T49" s="38"/>
      <c r="U49" s="38">
        <v>309742</v>
      </c>
      <c r="V49" s="38"/>
      <c r="W49" s="38">
        <v>0</v>
      </c>
      <c r="X49" s="38"/>
      <c r="Y49" s="38">
        <v>66924</v>
      </c>
      <c r="Z49" s="38"/>
      <c r="AA49" s="38">
        <v>46845</v>
      </c>
      <c r="AB49" s="38"/>
      <c r="AC49" s="38">
        <f aca="true" t="shared" si="2" ref="AC49:AC75">SUM(C49:AA49)</f>
        <v>6050169</v>
      </c>
      <c r="AD49" s="20"/>
      <c r="AE49" s="13"/>
    </row>
    <row r="50" spans="1:31" s="15" customFormat="1" ht="12">
      <c r="A50" s="13" t="s">
        <v>47</v>
      </c>
      <c r="B50" s="13"/>
      <c r="C50" s="38">
        <v>5074323</v>
      </c>
      <c r="D50" s="38"/>
      <c r="E50" s="38">
        <v>3390391</v>
      </c>
      <c r="F50" s="38"/>
      <c r="G50" s="38">
        <v>119497</v>
      </c>
      <c r="H50" s="38"/>
      <c r="I50" s="38">
        <v>0</v>
      </c>
      <c r="J50" s="38"/>
      <c r="K50" s="38">
        <v>282393</v>
      </c>
      <c r="L50" s="38"/>
      <c r="M50" s="38">
        <v>877699</v>
      </c>
      <c r="N50" s="38"/>
      <c r="O50" s="38">
        <v>0</v>
      </c>
      <c r="P50" s="38"/>
      <c r="Q50" s="38">
        <v>0</v>
      </c>
      <c r="R50" s="38"/>
      <c r="S50" s="38">
        <v>554592</v>
      </c>
      <c r="T50" s="38"/>
      <c r="U50" s="38">
        <v>0</v>
      </c>
      <c r="V50" s="38"/>
      <c r="W50" s="38">
        <v>40500</v>
      </c>
      <c r="X50" s="38"/>
      <c r="Y50" s="38">
        <v>35626</v>
      </c>
      <c r="Z50" s="38"/>
      <c r="AA50" s="38">
        <v>2866</v>
      </c>
      <c r="AB50" s="38"/>
      <c r="AC50" s="38">
        <f t="shared" si="2"/>
        <v>10377887</v>
      </c>
      <c r="AD50" s="20"/>
      <c r="AE50" s="13"/>
    </row>
    <row r="51" spans="1:31" s="15" customFormat="1" ht="12">
      <c r="A51" s="13" t="s">
        <v>48</v>
      </c>
      <c r="B51" s="13"/>
      <c r="C51" s="38">
        <v>4176199</v>
      </c>
      <c r="D51" s="38"/>
      <c r="E51" s="38">
        <v>1562077</v>
      </c>
      <c r="F51" s="38"/>
      <c r="G51" s="38">
        <v>2829880</v>
      </c>
      <c r="H51" s="38"/>
      <c r="I51" s="38">
        <v>109899</v>
      </c>
      <c r="J51" s="38"/>
      <c r="K51" s="38">
        <v>124286</v>
      </c>
      <c r="L51" s="38"/>
      <c r="M51" s="38">
        <v>576259</v>
      </c>
      <c r="N51" s="38"/>
      <c r="O51" s="38">
        <v>0</v>
      </c>
      <c r="P51" s="38"/>
      <c r="Q51" s="38">
        <v>2000</v>
      </c>
      <c r="R51" s="38"/>
      <c r="S51" s="38">
        <v>0</v>
      </c>
      <c r="T51" s="38"/>
      <c r="U51" s="38">
        <v>415657</v>
      </c>
      <c r="V51" s="38"/>
      <c r="W51" s="38">
        <v>0</v>
      </c>
      <c r="X51" s="38"/>
      <c r="Y51" s="38">
        <v>1382</v>
      </c>
      <c r="Z51" s="38"/>
      <c r="AA51" s="38">
        <v>416</v>
      </c>
      <c r="AB51" s="38"/>
      <c r="AC51" s="38">
        <f t="shared" si="2"/>
        <v>9798055</v>
      </c>
      <c r="AD51" s="20"/>
      <c r="AE51" s="13"/>
    </row>
    <row r="52" spans="1:31" s="15" customFormat="1" ht="12">
      <c r="A52" s="13" t="s">
        <v>49</v>
      </c>
      <c r="B52" s="13"/>
      <c r="C52" s="38">
        <v>10981744</v>
      </c>
      <c r="D52" s="38"/>
      <c r="E52" s="38">
        <v>28587650</v>
      </c>
      <c r="F52" s="38"/>
      <c r="G52" s="38">
        <v>0</v>
      </c>
      <c r="H52" s="38"/>
      <c r="I52" s="38">
        <v>342532</v>
      </c>
      <c r="J52" s="38"/>
      <c r="K52" s="38">
        <v>214491</v>
      </c>
      <c r="L52" s="38"/>
      <c r="M52" s="38">
        <v>1005913</v>
      </c>
      <c r="N52" s="38"/>
      <c r="O52" s="38">
        <v>148000</v>
      </c>
      <c r="P52" s="38"/>
      <c r="Q52" s="38">
        <v>0</v>
      </c>
      <c r="R52" s="38"/>
      <c r="S52" s="38">
        <v>0</v>
      </c>
      <c r="T52" s="38"/>
      <c r="U52" s="38">
        <v>0</v>
      </c>
      <c r="V52" s="38"/>
      <c r="W52" s="38">
        <v>0</v>
      </c>
      <c r="X52" s="38"/>
      <c r="Y52" s="38">
        <v>0</v>
      </c>
      <c r="Z52" s="38"/>
      <c r="AA52" s="38">
        <v>0</v>
      </c>
      <c r="AB52" s="38"/>
      <c r="AC52" s="38">
        <f t="shared" si="2"/>
        <v>41280330</v>
      </c>
      <c r="AD52" s="20"/>
      <c r="AE52" s="13"/>
    </row>
    <row r="53" spans="1:31" s="15" customFormat="1" ht="12" hidden="1">
      <c r="A53" s="13" t="s">
        <v>171</v>
      </c>
      <c r="B53" s="13"/>
      <c r="C53" s="5">
        <v>3880372</v>
      </c>
      <c r="D53" s="5"/>
      <c r="E53" s="5">
        <v>1635859</v>
      </c>
      <c r="F53" s="5"/>
      <c r="G53" s="5">
        <v>2752554</v>
      </c>
      <c r="H53" s="5"/>
      <c r="I53" s="5">
        <v>45466</v>
      </c>
      <c r="J53" s="5"/>
      <c r="K53" s="5">
        <v>144934</v>
      </c>
      <c r="L53" s="5"/>
      <c r="M53" s="5">
        <v>517124</v>
      </c>
      <c r="N53" s="5"/>
      <c r="O53" s="5">
        <v>0</v>
      </c>
      <c r="P53" s="5"/>
      <c r="Q53" s="5">
        <v>0</v>
      </c>
      <c r="R53" s="5"/>
      <c r="S53" s="5">
        <v>13252</v>
      </c>
      <c r="T53" s="5"/>
      <c r="U53" s="5">
        <v>0</v>
      </c>
      <c r="V53" s="5"/>
      <c r="W53" s="5">
        <v>0</v>
      </c>
      <c r="X53" s="5"/>
      <c r="Y53" s="5">
        <v>0</v>
      </c>
      <c r="Z53" s="5"/>
      <c r="AA53" s="5">
        <v>0</v>
      </c>
      <c r="AB53" s="5"/>
      <c r="AC53" s="38" t="s">
        <v>22</v>
      </c>
      <c r="AD53" s="20"/>
      <c r="AE53" s="13"/>
    </row>
    <row r="54" spans="1:31" s="15" customFormat="1" ht="12">
      <c r="A54" s="13" t="s">
        <v>50</v>
      </c>
      <c r="B54" s="13"/>
      <c r="C54" s="38">
        <v>14442076</v>
      </c>
      <c r="D54" s="38"/>
      <c r="E54" s="38">
        <v>0</v>
      </c>
      <c r="F54" s="38"/>
      <c r="G54" s="38">
        <v>13772157</v>
      </c>
      <c r="H54" s="38"/>
      <c r="I54" s="38">
        <v>24187</v>
      </c>
      <c r="J54" s="38"/>
      <c r="K54" s="38">
        <v>218170</v>
      </c>
      <c r="L54" s="38"/>
      <c r="M54" s="38">
        <v>729443</v>
      </c>
      <c r="N54" s="38"/>
      <c r="O54" s="38">
        <v>527397</v>
      </c>
      <c r="P54" s="38"/>
      <c r="Q54" s="38">
        <v>0</v>
      </c>
      <c r="R54" s="38"/>
      <c r="S54" s="38">
        <v>0</v>
      </c>
      <c r="T54" s="38"/>
      <c r="U54" s="38">
        <v>53539</v>
      </c>
      <c r="V54" s="38"/>
      <c r="W54" s="38">
        <v>514811</v>
      </c>
      <c r="X54" s="38"/>
      <c r="Y54" s="38">
        <v>0</v>
      </c>
      <c r="Z54" s="38"/>
      <c r="AA54" s="38">
        <v>0</v>
      </c>
      <c r="AB54" s="38"/>
      <c r="AC54" s="38">
        <f>SUM(C54:AA54)</f>
        <v>30281780</v>
      </c>
      <c r="AD54" s="20"/>
      <c r="AE54" s="13"/>
    </row>
    <row r="55" spans="1:31" s="15" customFormat="1" ht="12">
      <c r="A55" s="13" t="s">
        <v>51</v>
      </c>
      <c r="B55" s="13"/>
      <c r="C55" s="38">
        <v>1920604</v>
      </c>
      <c r="D55" s="38"/>
      <c r="E55" s="38">
        <v>1968377</v>
      </c>
      <c r="F55" s="38"/>
      <c r="G55" s="38">
        <v>5892246</v>
      </c>
      <c r="H55" s="38"/>
      <c r="I55" s="38">
        <v>2130684</v>
      </c>
      <c r="J55" s="38"/>
      <c r="K55" s="38">
        <v>162288</v>
      </c>
      <c r="L55" s="38"/>
      <c r="M55" s="38">
        <v>227186</v>
      </c>
      <c r="N55" s="38"/>
      <c r="O55" s="38">
        <v>0</v>
      </c>
      <c r="P55" s="38"/>
      <c r="Q55" s="38">
        <v>403500</v>
      </c>
      <c r="R55" s="38"/>
      <c r="S55" s="38">
        <v>1196394</v>
      </c>
      <c r="T55" s="38"/>
      <c r="U55" s="38">
        <v>0</v>
      </c>
      <c r="V55" s="38"/>
      <c r="W55" s="38">
        <v>0</v>
      </c>
      <c r="X55" s="38"/>
      <c r="Y55" s="38">
        <v>30273</v>
      </c>
      <c r="Z55" s="38"/>
      <c r="AA55" s="38">
        <v>7946</v>
      </c>
      <c r="AB55" s="38"/>
      <c r="AC55" s="38">
        <f t="shared" si="2"/>
        <v>13939498</v>
      </c>
      <c r="AD55" s="20"/>
      <c r="AE55" s="13"/>
    </row>
    <row r="56" spans="1:31" s="15" customFormat="1" ht="12">
      <c r="A56" s="13" t="s">
        <v>52</v>
      </c>
      <c r="B56" s="13"/>
      <c r="C56" s="38">
        <v>23099838</v>
      </c>
      <c r="D56" s="38"/>
      <c r="E56" s="38">
        <v>12986021</v>
      </c>
      <c r="F56" s="38"/>
      <c r="G56" s="38">
        <v>6451057</v>
      </c>
      <c r="H56" s="38"/>
      <c r="I56" s="38">
        <v>246522</v>
      </c>
      <c r="J56" s="38"/>
      <c r="K56" s="38">
        <v>934</v>
      </c>
      <c r="L56" s="38"/>
      <c r="M56" s="38">
        <v>1966094</v>
      </c>
      <c r="N56" s="38"/>
      <c r="O56" s="38">
        <v>2709</v>
      </c>
      <c r="P56" s="38"/>
      <c r="Q56" s="38">
        <v>0</v>
      </c>
      <c r="R56" s="38"/>
      <c r="S56" s="38">
        <v>189</v>
      </c>
      <c r="T56" s="38"/>
      <c r="U56" s="38">
        <v>2368460</v>
      </c>
      <c r="V56" s="38"/>
      <c r="W56" s="38">
        <v>560915</v>
      </c>
      <c r="X56" s="38"/>
      <c r="Y56" s="38">
        <v>0</v>
      </c>
      <c r="Z56" s="38"/>
      <c r="AA56" s="38">
        <v>0</v>
      </c>
      <c r="AB56" s="38"/>
      <c r="AC56" s="38">
        <f t="shared" si="2"/>
        <v>47682739</v>
      </c>
      <c r="AD56" s="20"/>
      <c r="AE56" s="13"/>
    </row>
    <row r="57" spans="1:31" s="15" customFormat="1" ht="12">
      <c r="A57" s="13" t="s">
        <v>196</v>
      </c>
      <c r="B57" s="13"/>
      <c r="C57" s="38">
        <v>25442000</v>
      </c>
      <c r="D57" s="38"/>
      <c r="E57" s="38">
        <v>38956000</v>
      </c>
      <c r="F57" s="38"/>
      <c r="G57" s="38">
        <v>35640000</v>
      </c>
      <c r="H57" s="38"/>
      <c r="I57" s="38">
        <v>255000</v>
      </c>
      <c r="J57" s="38"/>
      <c r="K57" s="38">
        <v>749000</v>
      </c>
      <c r="L57" s="38"/>
      <c r="M57" s="38">
        <v>1488000</v>
      </c>
      <c r="N57" s="38"/>
      <c r="O57" s="38">
        <v>0</v>
      </c>
      <c r="P57" s="38"/>
      <c r="Q57" s="38">
        <v>1465000</v>
      </c>
      <c r="R57" s="38"/>
      <c r="S57" s="38">
        <v>459000</v>
      </c>
      <c r="T57" s="38"/>
      <c r="U57" s="38">
        <v>0</v>
      </c>
      <c r="V57" s="38"/>
      <c r="W57" s="38">
        <v>0</v>
      </c>
      <c r="X57" s="38"/>
      <c r="Y57" s="38">
        <v>0</v>
      </c>
      <c r="Z57" s="38"/>
      <c r="AA57" s="38">
        <v>0</v>
      </c>
      <c r="AB57" s="38"/>
      <c r="AC57" s="38">
        <f t="shared" si="2"/>
        <v>104454000</v>
      </c>
      <c r="AD57" s="20"/>
      <c r="AE57" s="13"/>
    </row>
    <row r="58" spans="1:31" s="15" customFormat="1" ht="12" hidden="1">
      <c r="A58" s="13" t="s">
        <v>53</v>
      </c>
      <c r="B58" s="1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20"/>
      <c r="AE58" s="13"/>
    </row>
    <row r="59" spans="1:31" s="15" customFormat="1" ht="12">
      <c r="A59" s="13" t="s">
        <v>54</v>
      </c>
      <c r="B59" s="13"/>
      <c r="C59" s="38">
        <v>12406433</v>
      </c>
      <c r="D59" s="38"/>
      <c r="E59" s="38">
        <v>13699190</v>
      </c>
      <c r="F59" s="38"/>
      <c r="G59" s="38">
        <v>18250973</v>
      </c>
      <c r="H59" s="38"/>
      <c r="I59" s="38">
        <v>0</v>
      </c>
      <c r="J59" s="38"/>
      <c r="K59" s="38">
        <v>0</v>
      </c>
      <c r="L59" s="38"/>
      <c r="M59" s="38">
        <v>849766</v>
      </c>
      <c r="N59" s="38"/>
      <c r="O59" s="38">
        <v>0</v>
      </c>
      <c r="P59" s="38"/>
      <c r="Q59" s="38">
        <v>0</v>
      </c>
      <c r="R59" s="38"/>
      <c r="S59" s="38">
        <v>1423245</v>
      </c>
      <c r="T59" s="38"/>
      <c r="U59" s="38">
        <v>0</v>
      </c>
      <c r="V59" s="38"/>
      <c r="W59" s="38">
        <v>0</v>
      </c>
      <c r="X59" s="38"/>
      <c r="Y59" s="38">
        <v>0</v>
      </c>
      <c r="Z59" s="38"/>
      <c r="AA59" s="38">
        <v>0</v>
      </c>
      <c r="AB59" s="38"/>
      <c r="AC59" s="38">
        <f t="shared" si="2"/>
        <v>46629607</v>
      </c>
      <c r="AD59" s="20"/>
      <c r="AE59" s="13"/>
    </row>
    <row r="60" spans="1:31" s="15" customFormat="1" ht="12">
      <c r="A60" s="13" t="s">
        <v>55</v>
      </c>
      <c r="B60" s="13"/>
      <c r="C60" s="38">
        <v>4602274</v>
      </c>
      <c r="D60" s="38"/>
      <c r="E60" s="38">
        <v>1497307</v>
      </c>
      <c r="F60" s="38"/>
      <c r="G60" s="38">
        <v>6470190</v>
      </c>
      <c r="H60" s="38"/>
      <c r="I60" s="38">
        <v>13786</v>
      </c>
      <c r="J60" s="38"/>
      <c r="K60" s="38">
        <v>301735</v>
      </c>
      <c r="L60" s="38"/>
      <c r="M60" s="38">
        <v>222141</v>
      </c>
      <c r="N60" s="38"/>
      <c r="O60" s="38">
        <v>0</v>
      </c>
      <c r="P60" s="38"/>
      <c r="Q60" s="38">
        <v>16920</v>
      </c>
      <c r="R60" s="38"/>
      <c r="S60" s="38">
        <v>580079</v>
      </c>
      <c r="T60" s="38"/>
      <c r="U60" s="38">
        <v>2209</v>
      </c>
      <c r="V60" s="38"/>
      <c r="W60" s="38">
        <v>279180</v>
      </c>
      <c r="X60" s="38"/>
      <c r="Y60" s="38">
        <v>0</v>
      </c>
      <c r="Z60" s="38"/>
      <c r="AA60" s="38">
        <v>0</v>
      </c>
      <c r="AB60" s="38"/>
      <c r="AC60" s="38">
        <f t="shared" si="2"/>
        <v>13985821</v>
      </c>
      <c r="AD60" s="20"/>
      <c r="AE60" s="13"/>
    </row>
    <row r="61" spans="1:31" s="15" customFormat="1" ht="12">
      <c r="A61" s="13" t="s">
        <v>56</v>
      </c>
      <c r="B61" s="13"/>
      <c r="C61" s="38">
        <v>8589546</v>
      </c>
      <c r="D61" s="38"/>
      <c r="E61" s="38">
        <v>5261212</v>
      </c>
      <c r="F61" s="38"/>
      <c r="G61" s="38">
        <v>13849857</v>
      </c>
      <c r="H61" s="38"/>
      <c r="I61" s="38">
        <v>387987</v>
      </c>
      <c r="J61" s="38"/>
      <c r="K61" s="38">
        <v>213190</v>
      </c>
      <c r="L61" s="38"/>
      <c r="M61" s="38">
        <v>1462691</v>
      </c>
      <c r="N61" s="38"/>
      <c r="O61" s="38">
        <v>67600</v>
      </c>
      <c r="P61" s="38"/>
      <c r="Q61" s="38">
        <v>0</v>
      </c>
      <c r="R61" s="38"/>
      <c r="S61" s="38">
        <v>0</v>
      </c>
      <c r="T61" s="38"/>
      <c r="U61" s="38">
        <v>0</v>
      </c>
      <c r="V61" s="38"/>
      <c r="W61" s="38">
        <v>817419</v>
      </c>
      <c r="X61" s="38"/>
      <c r="Y61" s="38">
        <v>0</v>
      </c>
      <c r="Z61" s="38"/>
      <c r="AA61" s="38">
        <v>0</v>
      </c>
      <c r="AB61" s="38"/>
      <c r="AC61" s="38">
        <f t="shared" si="2"/>
        <v>30649502</v>
      </c>
      <c r="AD61" s="20"/>
      <c r="AE61" s="13"/>
    </row>
    <row r="62" spans="1:31" s="15" customFormat="1" ht="12" hidden="1">
      <c r="A62" s="13" t="s">
        <v>173</v>
      </c>
      <c r="B62" s="1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20"/>
      <c r="AE62" s="13"/>
    </row>
    <row r="63" spans="1:31" s="15" customFormat="1" ht="12" hidden="1">
      <c r="A63" s="13" t="s">
        <v>57</v>
      </c>
      <c r="B63" s="1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20"/>
      <c r="AE63" s="13"/>
    </row>
    <row r="64" spans="1:31" s="15" customFormat="1" ht="12">
      <c r="A64" s="13" t="s">
        <v>58</v>
      </c>
      <c r="B64" s="13"/>
      <c r="C64" s="38">
        <v>9797056</v>
      </c>
      <c r="D64" s="38"/>
      <c r="E64" s="38">
        <v>0</v>
      </c>
      <c r="F64" s="38"/>
      <c r="G64" s="38">
        <v>9210123</v>
      </c>
      <c r="H64" s="38"/>
      <c r="I64" s="38">
        <v>0</v>
      </c>
      <c r="J64" s="38"/>
      <c r="K64" s="38">
        <v>189369</v>
      </c>
      <c r="L64" s="38"/>
      <c r="M64" s="38">
        <v>1791537</v>
      </c>
      <c r="N64" s="38"/>
      <c r="O64" s="38">
        <v>0</v>
      </c>
      <c r="P64" s="38"/>
      <c r="Q64" s="38">
        <v>311315</v>
      </c>
      <c r="R64" s="38"/>
      <c r="S64" s="38">
        <v>0</v>
      </c>
      <c r="T64" s="38"/>
      <c r="U64" s="38">
        <v>0</v>
      </c>
      <c r="V64" s="38"/>
      <c r="W64" s="38">
        <v>0</v>
      </c>
      <c r="X64" s="38"/>
      <c r="Y64" s="38">
        <v>0</v>
      </c>
      <c r="Z64" s="38"/>
      <c r="AA64" s="38">
        <v>0</v>
      </c>
      <c r="AB64" s="38"/>
      <c r="AC64" s="38">
        <f t="shared" si="2"/>
        <v>21299400</v>
      </c>
      <c r="AD64" s="20"/>
      <c r="AE64" s="13"/>
    </row>
    <row r="65" spans="1:31" s="15" customFormat="1" ht="12" hidden="1">
      <c r="A65" s="13" t="s">
        <v>59</v>
      </c>
      <c r="B65" s="1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>
        <f t="shared" si="2"/>
        <v>0</v>
      </c>
      <c r="AD65" s="20"/>
      <c r="AE65" s="13"/>
    </row>
    <row r="66" spans="1:31" s="15" customFormat="1" ht="12">
      <c r="A66" s="13" t="s">
        <v>60</v>
      </c>
      <c r="B66" s="13"/>
      <c r="C66" s="38">
        <v>21050369</v>
      </c>
      <c r="D66" s="38"/>
      <c r="E66" s="38">
        <v>83427855</v>
      </c>
      <c r="F66" s="38"/>
      <c r="G66" s="38">
        <v>0</v>
      </c>
      <c r="H66" s="38"/>
      <c r="I66" s="38">
        <v>480093</v>
      </c>
      <c r="J66" s="38"/>
      <c r="K66" s="38">
        <v>0</v>
      </c>
      <c r="L66" s="38"/>
      <c r="M66" s="38">
        <v>2939959</v>
      </c>
      <c r="N66" s="38"/>
      <c r="O66" s="38">
        <v>10025234</v>
      </c>
      <c r="P66" s="38"/>
      <c r="Q66" s="38">
        <v>0</v>
      </c>
      <c r="R66" s="38"/>
      <c r="S66" s="38">
        <v>0</v>
      </c>
      <c r="T66" s="38"/>
      <c r="U66" s="38">
        <v>0</v>
      </c>
      <c r="V66" s="38"/>
      <c r="W66" s="38">
        <f>73920+153300+3030000+232744</f>
        <v>3489964</v>
      </c>
      <c r="X66" s="38"/>
      <c r="Y66" s="38">
        <v>152554</v>
      </c>
      <c r="Z66" s="38"/>
      <c r="AA66" s="38">
        <v>21252</v>
      </c>
      <c r="AB66" s="38"/>
      <c r="AC66" s="38">
        <f>SUM(C66:AA66)</f>
        <v>121587280</v>
      </c>
      <c r="AD66" s="20"/>
      <c r="AE66" s="13"/>
    </row>
    <row r="67" spans="1:31" s="15" customFormat="1" ht="12" hidden="1">
      <c r="A67" s="13" t="s">
        <v>61</v>
      </c>
      <c r="B67" s="1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20"/>
      <c r="AE67" s="13"/>
    </row>
    <row r="68" spans="1:31" s="15" customFormat="1" ht="12">
      <c r="A68" s="13" t="s">
        <v>100</v>
      </c>
      <c r="B68" s="13"/>
      <c r="C68" s="38">
        <v>2934313</v>
      </c>
      <c r="D68" s="38"/>
      <c r="E68" s="38">
        <v>729969</v>
      </c>
      <c r="F68" s="38"/>
      <c r="G68" s="38">
        <v>3519379</v>
      </c>
      <c r="H68" s="38"/>
      <c r="I68" s="38">
        <v>0</v>
      </c>
      <c r="J68" s="38"/>
      <c r="K68" s="38">
        <v>56732</v>
      </c>
      <c r="L68" s="38"/>
      <c r="M68" s="38">
        <v>558977</v>
      </c>
      <c r="N68" s="38"/>
      <c r="O68" s="38">
        <v>59950</v>
      </c>
      <c r="P68" s="38"/>
      <c r="Q68" s="38">
        <v>0</v>
      </c>
      <c r="R68" s="38"/>
      <c r="S68" s="38">
        <v>151457</v>
      </c>
      <c r="T68" s="38"/>
      <c r="U68" s="38">
        <v>0</v>
      </c>
      <c r="V68" s="38"/>
      <c r="W68" s="38">
        <v>373083</v>
      </c>
      <c r="X68" s="38"/>
      <c r="Y68" s="38">
        <v>0</v>
      </c>
      <c r="Z68" s="38"/>
      <c r="AA68" s="38">
        <v>0</v>
      </c>
      <c r="AB68" s="38"/>
      <c r="AC68" s="38">
        <f t="shared" si="2"/>
        <v>8383860</v>
      </c>
      <c r="AD68" s="20"/>
      <c r="AE68" s="13"/>
    </row>
    <row r="69" spans="1:31" s="15" customFormat="1" ht="12">
      <c r="A69" s="13" t="s">
        <v>63</v>
      </c>
      <c r="B69" s="13"/>
      <c r="C69" s="38">
        <v>9466731</v>
      </c>
      <c r="D69" s="38"/>
      <c r="E69" s="38">
        <v>4517925</v>
      </c>
      <c r="F69" s="38"/>
      <c r="G69" s="38">
        <v>6139385</v>
      </c>
      <c r="H69" s="38"/>
      <c r="I69" s="38">
        <v>514693</v>
      </c>
      <c r="J69" s="38"/>
      <c r="K69" s="38">
        <v>434707</v>
      </c>
      <c r="L69" s="38"/>
      <c r="M69" s="38">
        <v>410734</v>
      </c>
      <c r="N69" s="38"/>
      <c r="O69" s="38">
        <v>0</v>
      </c>
      <c r="P69" s="38"/>
      <c r="Q69" s="38">
        <v>0</v>
      </c>
      <c r="R69" s="38"/>
      <c r="S69" s="38">
        <v>4000</v>
      </c>
      <c r="T69" s="38"/>
      <c r="U69" s="38">
        <v>89778</v>
      </c>
      <c r="V69" s="38"/>
      <c r="W69" s="38">
        <v>447108</v>
      </c>
      <c r="X69" s="38"/>
      <c r="Y69" s="38">
        <v>19518</v>
      </c>
      <c r="Z69" s="38"/>
      <c r="AA69" s="38">
        <v>296</v>
      </c>
      <c r="AB69" s="38"/>
      <c r="AC69" s="38">
        <f t="shared" si="2"/>
        <v>22044875</v>
      </c>
      <c r="AD69" s="20"/>
      <c r="AE69" s="13"/>
    </row>
    <row r="70" spans="1:31" s="15" customFormat="1" ht="12">
      <c r="A70" s="13" t="s">
        <v>64</v>
      </c>
      <c r="B70" s="13"/>
      <c r="C70" s="38">
        <v>1423072</v>
      </c>
      <c r="D70" s="38"/>
      <c r="E70" s="38">
        <v>351479</v>
      </c>
      <c r="F70" s="38"/>
      <c r="G70" s="38">
        <v>1197425</v>
      </c>
      <c r="H70" s="38"/>
      <c r="I70" s="38">
        <v>1000</v>
      </c>
      <c r="J70" s="38"/>
      <c r="K70" s="38">
        <v>16408</v>
      </c>
      <c r="L70" s="38"/>
      <c r="M70" s="38">
        <v>93290</v>
      </c>
      <c r="N70" s="38"/>
      <c r="O70" s="38">
        <v>0</v>
      </c>
      <c r="P70" s="38"/>
      <c r="Q70" s="38">
        <v>0</v>
      </c>
      <c r="R70" s="38"/>
      <c r="S70" s="38">
        <f>773+17659</f>
        <v>18432</v>
      </c>
      <c r="T70" s="38"/>
      <c r="U70" s="38">
        <v>0</v>
      </c>
      <c r="V70" s="38"/>
      <c r="W70" s="38">
        <v>0</v>
      </c>
      <c r="X70" s="38"/>
      <c r="Y70" s="38">
        <v>0</v>
      </c>
      <c r="Z70" s="38"/>
      <c r="AA70" s="38">
        <v>0</v>
      </c>
      <c r="AB70" s="38"/>
      <c r="AC70" s="38">
        <f t="shared" si="2"/>
        <v>3101106</v>
      </c>
      <c r="AD70" s="20"/>
      <c r="AE70" s="13"/>
    </row>
    <row r="71" spans="1:31" s="15" customFormat="1" ht="12">
      <c r="A71" s="13" t="s">
        <v>65</v>
      </c>
      <c r="B71" s="13"/>
      <c r="C71" s="38">
        <v>4062075</v>
      </c>
      <c r="D71" s="38"/>
      <c r="E71" s="38">
        <v>1973549</v>
      </c>
      <c r="F71" s="38"/>
      <c r="G71" s="38">
        <v>4911882</v>
      </c>
      <c r="H71" s="38"/>
      <c r="I71" s="38">
        <v>25737</v>
      </c>
      <c r="J71" s="38"/>
      <c r="K71" s="38">
        <v>380969</v>
      </c>
      <c r="L71" s="38"/>
      <c r="M71" s="38">
        <v>632626</v>
      </c>
      <c r="N71" s="38"/>
      <c r="O71" s="38">
        <v>0</v>
      </c>
      <c r="P71" s="38"/>
      <c r="Q71" s="38">
        <v>0</v>
      </c>
      <c r="R71" s="38"/>
      <c r="S71" s="38">
        <v>17624</v>
      </c>
      <c r="T71" s="38"/>
      <c r="U71" s="38">
        <v>0</v>
      </c>
      <c r="V71" s="38"/>
      <c r="W71" s="38">
        <v>0</v>
      </c>
      <c r="X71" s="38"/>
      <c r="Y71" s="38">
        <v>0</v>
      </c>
      <c r="Z71" s="38"/>
      <c r="AA71" s="38">
        <v>9446</v>
      </c>
      <c r="AB71" s="38"/>
      <c r="AC71" s="38">
        <f t="shared" si="2"/>
        <v>12013908</v>
      </c>
      <c r="AD71" s="20"/>
      <c r="AE71" s="13"/>
    </row>
    <row r="72" spans="1:31" s="15" customFormat="1" ht="12" hidden="1">
      <c r="A72" s="13" t="s">
        <v>134</v>
      </c>
      <c r="B72" s="1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20"/>
      <c r="AE72" s="13"/>
    </row>
    <row r="73" spans="1:31" s="15" customFormat="1" ht="12" hidden="1">
      <c r="A73" s="13" t="s">
        <v>66</v>
      </c>
      <c r="B73" s="1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20"/>
      <c r="AE73" s="13"/>
    </row>
    <row r="74" spans="1:31" s="15" customFormat="1" ht="12">
      <c r="A74" s="13" t="s">
        <v>67</v>
      </c>
      <c r="B74" s="13"/>
      <c r="C74" s="38">
        <v>3327685</v>
      </c>
      <c r="D74" s="38"/>
      <c r="E74" s="38">
        <v>1239304</v>
      </c>
      <c r="F74" s="38"/>
      <c r="G74" s="38">
        <v>4003568</v>
      </c>
      <c r="H74" s="38"/>
      <c r="I74" s="38">
        <v>117144</v>
      </c>
      <c r="J74" s="38"/>
      <c r="K74" s="38">
        <v>70251</v>
      </c>
      <c r="L74" s="38"/>
      <c r="M74" s="38">
        <v>427460</v>
      </c>
      <c r="N74" s="38"/>
      <c r="O74" s="38">
        <v>0</v>
      </c>
      <c r="P74" s="38"/>
      <c r="Q74" s="38">
        <v>330683</v>
      </c>
      <c r="R74" s="38"/>
      <c r="S74" s="38">
        <v>75439</v>
      </c>
      <c r="T74" s="38"/>
      <c r="U74" s="38">
        <v>128934</v>
      </c>
      <c r="V74" s="38"/>
      <c r="W74" s="38">
        <v>0</v>
      </c>
      <c r="X74" s="38"/>
      <c r="Y74" s="38">
        <v>109820</v>
      </c>
      <c r="Z74" s="38"/>
      <c r="AA74" s="38">
        <v>13696</v>
      </c>
      <c r="AB74" s="38"/>
      <c r="AC74" s="38">
        <f t="shared" si="2"/>
        <v>9843984</v>
      </c>
      <c r="AD74" s="20"/>
      <c r="AE74" s="13"/>
    </row>
    <row r="75" spans="1:31" s="15" customFormat="1" ht="12">
      <c r="A75" s="13" t="s">
        <v>68</v>
      </c>
      <c r="B75" s="13"/>
      <c r="C75" s="5">
        <v>2275278</v>
      </c>
      <c r="D75" s="5"/>
      <c r="E75" s="5">
        <v>758962</v>
      </c>
      <c r="F75" s="5"/>
      <c r="G75" s="5">
        <v>1554938</v>
      </c>
      <c r="H75" s="5"/>
      <c r="I75" s="5">
        <v>67501</v>
      </c>
      <c r="J75" s="5"/>
      <c r="K75" s="5">
        <v>36521</v>
      </c>
      <c r="L75" s="5"/>
      <c r="M75" s="5">
        <v>327877</v>
      </c>
      <c r="N75" s="5"/>
      <c r="O75" s="5">
        <v>0</v>
      </c>
      <c r="P75" s="5"/>
      <c r="Q75" s="5">
        <v>210429</v>
      </c>
      <c r="R75" s="5"/>
      <c r="S75" s="5">
        <v>5424</v>
      </c>
      <c r="T75" s="5"/>
      <c r="U75" s="5">
        <v>98108</v>
      </c>
      <c r="V75" s="5"/>
      <c r="W75" s="5">
        <v>0</v>
      </c>
      <c r="X75" s="5"/>
      <c r="Y75" s="5">
        <v>12181</v>
      </c>
      <c r="Z75" s="5"/>
      <c r="AA75" s="5">
        <v>2804</v>
      </c>
      <c r="AB75" s="5"/>
      <c r="AC75" s="38">
        <f t="shared" si="2"/>
        <v>5350023</v>
      </c>
      <c r="AD75" s="20"/>
      <c r="AE75" s="13"/>
    </row>
    <row r="76" spans="1:31" s="5" customFormat="1" ht="12">
      <c r="A76" s="34" t="s">
        <v>69</v>
      </c>
      <c r="B76" s="34"/>
      <c r="C76" s="5">
        <v>11871278</v>
      </c>
      <c r="E76" s="5">
        <v>8731016</v>
      </c>
      <c r="G76" s="5">
        <v>125190904</v>
      </c>
      <c r="I76" s="5">
        <v>180771</v>
      </c>
      <c r="K76" s="5">
        <v>196838</v>
      </c>
      <c r="M76" s="5">
        <v>839187</v>
      </c>
      <c r="O76" s="5">
        <v>0</v>
      </c>
      <c r="Q76" s="5">
        <v>0</v>
      </c>
      <c r="S76" s="5">
        <v>225241</v>
      </c>
      <c r="U76" s="5">
        <v>0</v>
      </c>
      <c r="W76" s="5">
        <v>8294</v>
      </c>
      <c r="Y76" s="5">
        <v>0</v>
      </c>
      <c r="AA76" s="5">
        <v>0</v>
      </c>
      <c r="AC76" s="38">
        <f>SUM(C76:AA76)</f>
        <v>147243529</v>
      </c>
      <c r="AD76" s="78"/>
      <c r="AE76" s="34"/>
    </row>
    <row r="77" spans="1:31" s="15" customFormat="1" ht="12">
      <c r="A77" s="13" t="s">
        <v>70</v>
      </c>
      <c r="B77" s="13"/>
      <c r="C77" s="38">
        <v>3016097</v>
      </c>
      <c r="D77" s="38"/>
      <c r="E77" s="38">
        <v>1159982</v>
      </c>
      <c r="F77" s="38"/>
      <c r="G77" s="38">
        <v>4041117</v>
      </c>
      <c r="H77" s="38"/>
      <c r="I77" s="38">
        <v>27000</v>
      </c>
      <c r="J77" s="38"/>
      <c r="K77" s="38">
        <v>71787</v>
      </c>
      <c r="L77" s="38"/>
      <c r="M77" s="38">
        <v>161941</v>
      </c>
      <c r="N77" s="38"/>
      <c r="O77" s="38">
        <v>0</v>
      </c>
      <c r="P77" s="38"/>
      <c r="Q77" s="38">
        <v>0</v>
      </c>
      <c r="R77" s="38"/>
      <c r="S77" s="38">
        <v>267941</v>
      </c>
      <c r="T77" s="38"/>
      <c r="U77" s="38">
        <v>0</v>
      </c>
      <c r="V77" s="38"/>
      <c r="W77" s="38">
        <v>329480</v>
      </c>
      <c r="X77" s="38"/>
      <c r="Y77" s="38">
        <v>0</v>
      </c>
      <c r="Z77" s="38"/>
      <c r="AA77" s="38">
        <v>0</v>
      </c>
      <c r="AB77" s="38"/>
      <c r="AC77" s="38">
        <f aca="true" t="shared" si="3" ref="AC77:AC99">SUM(C77:AA77)</f>
        <v>9075345</v>
      </c>
      <c r="AD77" s="20"/>
      <c r="AE77" s="13"/>
    </row>
    <row r="78" spans="1:31" s="15" customFormat="1" ht="12" hidden="1">
      <c r="A78" s="13" t="s">
        <v>186</v>
      </c>
      <c r="B78" s="1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20"/>
      <c r="AE78" s="13"/>
    </row>
    <row r="79" spans="1:31" s="15" customFormat="1" ht="12">
      <c r="A79" s="13" t="s">
        <v>191</v>
      </c>
      <c r="B79" s="13"/>
      <c r="C79" s="38">
        <v>6324558</v>
      </c>
      <c r="D79" s="38"/>
      <c r="E79" s="38">
        <v>4707825</v>
      </c>
      <c r="F79" s="38"/>
      <c r="G79" s="38">
        <v>9440886</v>
      </c>
      <c r="H79" s="38"/>
      <c r="I79" s="38">
        <v>487405</v>
      </c>
      <c r="J79" s="38"/>
      <c r="K79" s="38">
        <v>1376280</v>
      </c>
      <c r="L79" s="38"/>
      <c r="M79" s="38">
        <v>890436</v>
      </c>
      <c r="N79" s="38"/>
      <c r="O79" s="38">
        <v>0</v>
      </c>
      <c r="P79" s="38"/>
      <c r="Q79" s="38">
        <v>210787</v>
      </c>
      <c r="R79" s="38"/>
      <c r="S79" s="38">
        <v>147980</v>
      </c>
      <c r="T79" s="38"/>
      <c r="U79" s="38">
        <v>0</v>
      </c>
      <c r="V79" s="38"/>
      <c r="W79" s="38">
        <v>998986</v>
      </c>
      <c r="X79" s="38"/>
      <c r="Y79" s="38">
        <v>0</v>
      </c>
      <c r="Z79" s="38"/>
      <c r="AA79" s="38">
        <v>0</v>
      </c>
      <c r="AB79" s="38"/>
      <c r="AC79" s="38">
        <f t="shared" si="3"/>
        <v>24585143</v>
      </c>
      <c r="AD79" s="20"/>
      <c r="AE79" s="13"/>
    </row>
    <row r="80" spans="1:31" s="15" customFormat="1" ht="12">
      <c r="A80" s="13" t="s">
        <v>71</v>
      </c>
      <c r="B80" s="13"/>
      <c r="C80" s="38">
        <v>3438402</v>
      </c>
      <c r="D80" s="38"/>
      <c r="E80" s="38">
        <v>2014781</v>
      </c>
      <c r="F80" s="38"/>
      <c r="G80" s="38">
        <v>783209</v>
      </c>
      <c r="H80" s="38"/>
      <c r="I80" s="38">
        <v>249808</v>
      </c>
      <c r="J80" s="38"/>
      <c r="K80" s="38">
        <v>563055</v>
      </c>
      <c r="L80" s="38"/>
      <c r="M80" s="38">
        <v>402650</v>
      </c>
      <c r="N80" s="38"/>
      <c r="O80" s="38">
        <v>213408</v>
      </c>
      <c r="P80" s="38"/>
      <c r="Q80" s="38">
        <v>0</v>
      </c>
      <c r="R80" s="38"/>
      <c r="S80" s="38">
        <v>2000637</v>
      </c>
      <c r="T80" s="38"/>
      <c r="U80" s="38">
        <v>0</v>
      </c>
      <c r="V80" s="38"/>
      <c r="W80" s="38">
        <v>0</v>
      </c>
      <c r="X80" s="38"/>
      <c r="Y80" s="38">
        <v>76893</v>
      </c>
      <c r="Z80" s="38"/>
      <c r="AA80" s="38">
        <v>20801</v>
      </c>
      <c r="AB80" s="38"/>
      <c r="AC80" s="38">
        <f>SUM(C80:AA80)</f>
        <v>9763644</v>
      </c>
      <c r="AD80" s="20"/>
      <c r="AE80" s="13"/>
    </row>
    <row r="81" spans="1:31" s="15" customFormat="1" ht="12">
      <c r="A81" s="13" t="s">
        <v>101</v>
      </c>
      <c r="B81" s="13"/>
      <c r="C81" s="38">
        <v>3980126</v>
      </c>
      <c r="D81" s="38"/>
      <c r="E81" s="38">
        <v>2456446</v>
      </c>
      <c r="F81" s="38"/>
      <c r="G81" s="38">
        <v>5512705</v>
      </c>
      <c r="H81" s="38"/>
      <c r="I81" s="38">
        <v>109484</v>
      </c>
      <c r="J81" s="38"/>
      <c r="K81" s="38">
        <v>107798</v>
      </c>
      <c r="L81" s="38"/>
      <c r="M81" s="38">
        <v>1624686</v>
      </c>
      <c r="N81" s="38"/>
      <c r="O81" s="38">
        <v>0</v>
      </c>
      <c r="P81" s="38"/>
      <c r="Q81" s="38">
        <v>0</v>
      </c>
      <c r="R81" s="38"/>
      <c r="S81" s="38">
        <v>352477</v>
      </c>
      <c r="T81" s="38"/>
      <c r="U81" s="38">
        <v>0</v>
      </c>
      <c r="V81" s="38"/>
      <c r="W81" s="38">
        <v>193900</v>
      </c>
      <c r="X81" s="38"/>
      <c r="Y81" s="38">
        <v>134406</v>
      </c>
      <c r="Z81" s="38"/>
      <c r="AA81" s="38">
        <v>7521</v>
      </c>
      <c r="AB81" s="38"/>
      <c r="AC81" s="38">
        <f t="shared" si="3"/>
        <v>14479549</v>
      </c>
      <c r="AD81" s="20"/>
      <c r="AE81" s="13"/>
    </row>
    <row r="82" spans="1:31" s="15" customFormat="1" ht="12">
      <c r="A82" s="13" t="s">
        <v>73</v>
      </c>
      <c r="B82" s="13"/>
      <c r="C82" s="38">
        <v>3167705</v>
      </c>
      <c r="D82" s="38"/>
      <c r="E82" s="38">
        <v>2126782</v>
      </c>
      <c r="F82" s="38"/>
      <c r="G82" s="38">
        <v>2759095</v>
      </c>
      <c r="H82" s="38"/>
      <c r="I82" s="38">
        <v>19418</v>
      </c>
      <c r="J82" s="38"/>
      <c r="K82" s="38">
        <v>48800</v>
      </c>
      <c r="L82" s="38"/>
      <c r="M82" s="38">
        <v>325353</v>
      </c>
      <c r="N82" s="38"/>
      <c r="O82" s="38">
        <v>62175</v>
      </c>
      <c r="P82" s="38"/>
      <c r="Q82" s="38">
        <v>189784</v>
      </c>
      <c r="R82" s="38"/>
      <c r="S82" s="38">
        <v>1847286</v>
      </c>
      <c r="T82" s="38"/>
      <c r="U82" s="38">
        <v>664041</v>
      </c>
      <c r="V82" s="38"/>
      <c r="W82" s="38">
        <v>0</v>
      </c>
      <c r="X82" s="38"/>
      <c r="Y82" s="38">
        <v>162286</v>
      </c>
      <c r="Z82" s="38"/>
      <c r="AA82" s="38">
        <v>26101</v>
      </c>
      <c r="AB82" s="38"/>
      <c r="AC82" s="38">
        <f t="shared" si="3"/>
        <v>11398826</v>
      </c>
      <c r="AD82" s="20"/>
      <c r="AE82" s="13"/>
    </row>
    <row r="83" spans="1:31" s="15" customFormat="1" ht="12">
      <c r="A83" s="13" t="s">
        <v>74</v>
      </c>
      <c r="B83" s="13"/>
      <c r="C83" s="38">
        <v>5567035</v>
      </c>
      <c r="D83" s="38"/>
      <c r="E83" s="38">
        <v>0</v>
      </c>
      <c r="F83" s="38"/>
      <c r="G83" s="38">
        <v>3868653</v>
      </c>
      <c r="H83" s="38"/>
      <c r="I83" s="38">
        <v>30889</v>
      </c>
      <c r="J83" s="38"/>
      <c r="K83" s="38">
        <v>82978</v>
      </c>
      <c r="L83" s="38"/>
      <c r="M83" s="38">
        <v>301930</v>
      </c>
      <c r="N83" s="38"/>
      <c r="O83" s="38">
        <v>51651</v>
      </c>
      <c r="P83" s="38"/>
      <c r="Q83" s="38">
        <v>63202</v>
      </c>
      <c r="R83" s="38"/>
      <c r="S83" s="38">
        <v>0</v>
      </c>
      <c r="T83" s="38"/>
      <c r="U83" s="38">
        <v>0</v>
      </c>
      <c r="V83" s="38"/>
      <c r="W83" s="38">
        <v>588698</v>
      </c>
      <c r="X83" s="38"/>
      <c r="Y83" s="38">
        <v>42183</v>
      </c>
      <c r="Z83" s="38"/>
      <c r="AA83" s="38">
        <v>1983</v>
      </c>
      <c r="AB83" s="38"/>
      <c r="AC83" s="38">
        <f t="shared" si="3"/>
        <v>10599202</v>
      </c>
      <c r="AD83" s="20"/>
      <c r="AE83" s="13"/>
    </row>
    <row r="84" spans="1:31" s="15" customFormat="1" ht="12">
      <c r="A84" s="13" t="s">
        <v>75</v>
      </c>
      <c r="B84" s="13"/>
      <c r="C84" s="38">
        <v>3207613</v>
      </c>
      <c r="D84" s="38"/>
      <c r="E84" s="38">
        <v>1866269</v>
      </c>
      <c r="F84" s="38"/>
      <c r="G84" s="38">
        <v>3927442</v>
      </c>
      <c r="H84" s="38"/>
      <c r="I84" s="38">
        <v>1313305</v>
      </c>
      <c r="J84" s="38"/>
      <c r="K84" s="38">
        <v>95477</v>
      </c>
      <c r="L84" s="38"/>
      <c r="M84" s="38">
        <v>680298</v>
      </c>
      <c r="N84" s="38"/>
      <c r="O84" s="38">
        <v>0</v>
      </c>
      <c r="P84" s="38"/>
      <c r="Q84" s="38">
        <v>0</v>
      </c>
      <c r="R84" s="38"/>
      <c r="S84" s="38">
        <v>0</v>
      </c>
      <c r="T84" s="38"/>
      <c r="U84" s="38">
        <v>9801</v>
      </c>
      <c r="V84" s="38"/>
      <c r="W84" s="38">
        <v>556332</v>
      </c>
      <c r="X84" s="38"/>
      <c r="Y84" s="38">
        <v>14262</v>
      </c>
      <c r="Z84" s="38"/>
      <c r="AA84" s="38">
        <v>2923</v>
      </c>
      <c r="AB84" s="38"/>
      <c r="AC84" s="38">
        <f t="shared" si="3"/>
        <v>11673722</v>
      </c>
      <c r="AD84" s="20"/>
      <c r="AE84" s="13"/>
    </row>
    <row r="85" spans="1:31" s="15" customFormat="1" ht="12">
      <c r="A85" s="13" t="s">
        <v>76</v>
      </c>
      <c r="B85" s="13"/>
      <c r="C85" s="38">
        <v>12461254</v>
      </c>
      <c r="D85" s="38"/>
      <c r="E85" s="38">
        <v>10178531</v>
      </c>
      <c r="F85" s="38"/>
      <c r="G85" s="38">
        <v>16416828</v>
      </c>
      <c r="H85" s="38"/>
      <c r="I85" s="38">
        <v>968904</v>
      </c>
      <c r="J85" s="38"/>
      <c r="K85" s="38">
        <v>0</v>
      </c>
      <c r="L85" s="38"/>
      <c r="M85" s="38">
        <v>791004</v>
      </c>
      <c r="N85" s="38"/>
      <c r="O85" s="38">
        <v>0</v>
      </c>
      <c r="P85" s="38"/>
      <c r="Q85" s="38">
        <v>0</v>
      </c>
      <c r="R85" s="38"/>
      <c r="S85" s="38">
        <v>694952</v>
      </c>
      <c r="T85" s="38"/>
      <c r="U85" s="38">
        <v>0</v>
      </c>
      <c r="V85" s="38"/>
      <c r="W85" s="38">
        <v>6201663</v>
      </c>
      <c r="X85" s="38"/>
      <c r="Y85" s="38">
        <v>353674</v>
      </c>
      <c r="Z85" s="38"/>
      <c r="AA85" s="38">
        <v>12698</v>
      </c>
      <c r="AB85" s="38"/>
      <c r="AC85" s="38">
        <f t="shared" si="3"/>
        <v>48079508</v>
      </c>
      <c r="AD85" s="20"/>
      <c r="AE85" s="13"/>
    </row>
    <row r="86" spans="1:31" s="15" customFormat="1" ht="12">
      <c r="A86" s="13" t="s">
        <v>77</v>
      </c>
      <c r="B86" s="13"/>
      <c r="C86" s="38">
        <v>20348226</v>
      </c>
      <c r="D86" s="38"/>
      <c r="E86" s="38">
        <v>22009919</v>
      </c>
      <c r="F86" s="38"/>
      <c r="G86" s="38">
        <v>46411812</v>
      </c>
      <c r="H86" s="38"/>
      <c r="I86" s="38">
        <v>0</v>
      </c>
      <c r="J86" s="38"/>
      <c r="K86" s="38">
        <v>680996</v>
      </c>
      <c r="L86" s="38"/>
      <c r="M86" s="38">
        <v>7012345</v>
      </c>
      <c r="N86" s="38"/>
      <c r="O86" s="38">
        <v>820255</v>
      </c>
      <c r="P86" s="38"/>
      <c r="Q86" s="38">
        <v>19034</v>
      </c>
      <c r="R86" s="38"/>
      <c r="S86" s="38">
        <v>1592473</v>
      </c>
      <c r="T86" s="38"/>
      <c r="U86" s="38">
        <v>679</v>
      </c>
      <c r="V86" s="38"/>
      <c r="W86" s="38">
        <v>333022</v>
      </c>
      <c r="X86" s="38"/>
      <c r="Y86" s="38">
        <v>0</v>
      </c>
      <c r="Z86" s="38"/>
      <c r="AA86" s="38">
        <v>0</v>
      </c>
      <c r="AB86" s="38"/>
      <c r="AC86" s="38">
        <f t="shared" si="3"/>
        <v>99228761</v>
      </c>
      <c r="AD86" s="20"/>
      <c r="AE86" s="13"/>
    </row>
    <row r="87" spans="1:31" s="15" customFormat="1" ht="12">
      <c r="A87" s="13" t="s">
        <v>78</v>
      </c>
      <c r="B87" s="13"/>
      <c r="C87" s="38">
        <v>15896722</v>
      </c>
      <c r="D87" s="38"/>
      <c r="E87" s="38">
        <v>8930401</v>
      </c>
      <c r="F87" s="38"/>
      <c r="G87" s="38">
        <v>9848395</v>
      </c>
      <c r="H87" s="38"/>
      <c r="I87" s="38">
        <v>0</v>
      </c>
      <c r="J87" s="38"/>
      <c r="K87" s="38">
        <v>0</v>
      </c>
      <c r="L87" s="38"/>
      <c r="M87" s="38">
        <v>694293</v>
      </c>
      <c r="N87" s="38"/>
      <c r="O87" s="38">
        <v>0</v>
      </c>
      <c r="P87" s="38"/>
      <c r="Q87" s="38">
        <v>0</v>
      </c>
      <c r="R87" s="38"/>
      <c r="S87" s="38">
        <v>209635</v>
      </c>
      <c r="T87" s="38"/>
      <c r="U87" s="38">
        <v>0</v>
      </c>
      <c r="V87" s="38"/>
      <c r="W87" s="38">
        <v>0</v>
      </c>
      <c r="X87" s="38"/>
      <c r="Y87" s="38">
        <v>47185</v>
      </c>
      <c r="Z87" s="38"/>
      <c r="AA87" s="38">
        <v>6764</v>
      </c>
      <c r="AB87" s="38"/>
      <c r="AC87" s="38">
        <f t="shared" si="3"/>
        <v>35633395</v>
      </c>
      <c r="AD87" s="20"/>
      <c r="AE87" s="13"/>
    </row>
    <row r="88" spans="1:31" s="15" customFormat="1" ht="12">
      <c r="A88" s="13"/>
      <c r="B88" s="1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 t="s">
        <v>246</v>
      </c>
      <c r="AD88" s="20"/>
      <c r="AE88" s="13"/>
    </row>
    <row r="89" spans="1:31" s="15" customFormat="1" ht="12">
      <c r="A89" s="13"/>
      <c r="B89" s="1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20"/>
      <c r="AE89" s="13"/>
    </row>
    <row r="90" spans="1:31" s="15" customFormat="1" ht="12">
      <c r="A90" s="13"/>
      <c r="B90" s="1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20"/>
      <c r="AE90" s="13"/>
    </row>
    <row r="91" spans="1:31" s="60" customFormat="1" ht="12">
      <c r="A91" s="81" t="s">
        <v>79</v>
      </c>
      <c r="B91" s="81"/>
      <c r="C91" s="74">
        <v>4942480</v>
      </c>
      <c r="D91" s="74"/>
      <c r="E91" s="74">
        <v>3451041</v>
      </c>
      <c r="F91" s="74"/>
      <c r="G91" s="74">
        <v>3197125</v>
      </c>
      <c r="H91" s="74"/>
      <c r="I91" s="74">
        <v>150586</v>
      </c>
      <c r="J91" s="74"/>
      <c r="K91" s="74">
        <v>157915</v>
      </c>
      <c r="L91" s="74"/>
      <c r="M91" s="74">
        <v>393506</v>
      </c>
      <c r="N91" s="74"/>
      <c r="O91" s="74">
        <v>0</v>
      </c>
      <c r="P91" s="74"/>
      <c r="Q91" s="74">
        <v>0</v>
      </c>
      <c r="R91" s="74"/>
      <c r="S91" s="74">
        <v>0</v>
      </c>
      <c r="T91" s="74"/>
      <c r="U91" s="74">
        <v>0</v>
      </c>
      <c r="V91" s="74"/>
      <c r="W91" s="74">
        <v>585012</v>
      </c>
      <c r="X91" s="74"/>
      <c r="Y91" s="74">
        <v>43268</v>
      </c>
      <c r="Z91" s="74"/>
      <c r="AA91" s="74">
        <v>6274</v>
      </c>
      <c r="AB91" s="74"/>
      <c r="AC91" s="74">
        <f>SUM(C91:AA91)</f>
        <v>12927207</v>
      </c>
      <c r="AD91" s="80"/>
      <c r="AE91" s="81"/>
    </row>
    <row r="92" spans="1:31" s="5" customFormat="1" ht="12">
      <c r="A92" s="34" t="s">
        <v>80</v>
      </c>
      <c r="B92" s="34"/>
      <c r="C92" s="67">
        <v>5263364</v>
      </c>
      <c r="D92" s="67"/>
      <c r="E92" s="67">
        <v>1411523</v>
      </c>
      <c r="F92" s="67"/>
      <c r="G92" s="67">
        <v>3815912</v>
      </c>
      <c r="H92" s="67"/>
      <c r="I92" s="67">
        <v>110985</v>
      </c>
      <c r="J92" s="67"/>
      <c r="K92" s="67">
        <v>182214</v>
      </c>
      <c r="L92" s="67"/>
      <c r="M92" s="67">
        <v>884570</v>
      </c>
      <c r="N92" s="67"/>
      <c r="O92" s="67">
        <v>63260</v>
      </c>
      <c r="P92" s="67"/>
      <c r="Q92" s="67">
        <v>0</v>
      </c>
      <c r="R92" s="67"/>
      <c r="S92" s="67">
        <v>524782</v>
      </c>
      <c r="T92" s="67"/>
      <c r="U92" s="67">
        <v>0</v>
      </c>
      <c r="V92" s="67"/>
      <c r="W92" s="67">
        <v>0</v>
      </c>
      <c r="X92" s="67"/>
      <c r="Y92" s="67">
        <v>0</v>
      </c>
      <c r="Z92" s="67"/>
      <c r="AA92" s="67">
        <v>0</v>
      </c>
      <c r="AB92" s="67"/>
      <c r="AC92" s="38">
        <f>SUM(C92:AA92)</f>
        <v>12256610</v>
      </c>
      <c r="AD92" s="78"/>
      <c r="AE92" s="34"/>
    </row>
    <row r="93" spans="1:31" s="15" customFormat="1" ht="12">
      <c r="A93" s="13" t="s">
        <v>81</v>
      </c>
      <c r="B93" s="13"/>
      <c r="C93" s="5">
        <v>2540173</v>
      </c>
      <c r="D93" s="5"/>
      <c r="E93" s="5">
        <v>1157855</v>
      </c>
      <c r="F93" s="5"/>
      <c r="G93" s="5">
        <v>2327864</v>
      </c>
      <c r="H93" s="5"/>
      <c r="I93" s="5">
        <v>208535</v>
      </c>
      <c r="J93" s="5"/>
      <c r="K93" s="5">
        <v>42967</v>
      </c>
      <c r="L93" s="5"/>
      <c r="M93" s="5">
        <v>234008</v>
      </c>
      <c r="N93" s="5"/>
      <c r="O93" s="5">
        <v>27500</v>
      </c>
      <c r="P93" s="5"/>
      <c r="Q93" s="5">
        <v>0</v>
      </c>
      <c r="R93" s="5"/>
      <c r="S93" s="5">
        <v>0</v>
      </c>
      <c r="T93" s="5"/>
      <c r="U93" s="5">
        <v>100091</v>
      </c>
      <c r="V93" s="5"/>
      <c r="W93" s="5">
        <v>267833</v>
      </c>
      <c r="X93" s="5"/>
      <c r="Y93" s="5">
        <v>765</v>
      </c>
      <c r="Z93" s="5"/>
      <c r="AA93" s="5">
        <v>0</v>
      </c>
      <c r="AB93" s="5"/>
      <c r="AC93" s="38">
        <f>SUM(C93:AA93)</f>
        <v>6907591</v>
      </c>
      <c r="AD93" s="20"/>
      <c r="AE93" s="13"/>
    </row>
    <row r="94" spans="1:31" s="15" customFormat="1" ht="12">
      <c r="A94" s="13" t="s">
        <v>82</v>
      </c>
      <c r="B94" s="13"/>
      <c r="C94" s="38">
        <v>1253018</v>
      </c>
      <c r="D94" s="38"/>
      <c r="E94" s="38">
        <v>374877</v>
      </c>
      <c r="F94" s="38"/>
      <c r="G94" s="38">
        <v>580884</v>
      </c>
      <c r="H94" s="38"/>
      <c r="I94" s="38">
        <v>0</v>
      </c>
      <c r="J94" s="38"/>
      <c r="K94" s="38">
        <v>27321</v>
      </c>
      <c r="L94" s="38"/>
      <c r="M94" s="38">
        <v>101971</v>
      </c>
      <c r="N94" s="38"/>
      <c r="O94" s="38">
        <v>0</v>
      </c>
      <c r="P94" s="38"/>
      <c r="Q94" s="38">
        <v>9700</v>
      </c>
      <c r="R94" s="38"/>
      <c r="S94" s="38">
        <v>442251</v>
      </c>
      <c r="T94" s="38"/>
      <c r="U94" s="38">
        <v>0</v>
      </c>
      <c r="V94" s="38"/>
      <c r="W94" s="38">
        <v>0</v>
      </c>
      <c r="X94" s="38"/>
      <c r="Y94" s="38">
        <v>16721</v>
      </c>
      <c r="Z94" s="38"/>
      <c r="AA94" s="38">
        <v>0</v>
      </c>
      <c r="AB94" s="38"/>
      <c r="AC94" s="38">
        <f>SUM(C94:AA94)</f>
        <v>2806743</v>
      </c>
      <c r="AD94" s="20"/>
      <c r="AE94" s="13"/>
    </row>
    <row r="95" spans="1:31" s="15" customFormat="1" ht="12">
      <c r="A95" s="13" t="s">
        <v>83</v>
      </c>
      <c r="B95" s="13"/>
      <c r="C95" s="38">
        <v>15534206</v>
      </c>
      <c r="D95" s="38"/>
      <c r="E95" s="38">
        <v>4604010</v>
      </c>
      <c r="F95" s="38"/>
      <c r="G95" s="38">
        <v>16180518</v>
      </c>
      <c r="H95" s="38"/>
      <c r="I95" s="38">
        <v>0</v>
      </c>
      <c r="J95" s="38"/>
      <c r="K95" s="38">
        <v>0</v>
      </c>
      <c r="L95" s="38"/>
      <c r="M95" s="38">
        <v>897527</v>
      </c>
      <c r="N95" s="38"/>
      <c r="O95" s="38">
        <v>0</v>
      </c>
      <c r="P95" s="38"/>
      <c r="Q95" s="38">
        <v>0</v>
      </c>
      <c r="R95" s="38"/>
      <c r="S95" s="38">
        <v>0</v>
      </c>
      <c r="T95" s="38"/>
      <c r="U95" s="38">
        <v>0</v>
      </c>
      <c r="V95" s="38"/>
      <c r="W95" s="38">
        <v>0</v>
      </c>
      <c r="X95" s="38"/>
      <c r="Y95" s="38">
        <v>13746</v>
      </c>
      <c r="Z95" s="38"/>
      <c r="AA95" s="38">
        <v>3823</v>
      </c>
      <c r="AB95" s="38"/>
      <c r="AC95" s="38">
        <f t="shared" si="3"/>
        <v>37233830</v>
      </c>
      <c r="AD95" s="20"/>
      <c r="AE95" s="13"/>
    </row>
    <row r="96" spans="1:31" s="15" customFormat="1" ht="12">
      <c r="A96" s="13" t="s">
        <v>84</v>
      </c>
      <c r="B96" s="13"/>
      <c r="C96" s="38">
        <v>3336054</v>
      </c>
      <c r="D96" s="38"/>
      <c r="E96" s="38">
        <v>1073764</v>
      </c>
      <c r="F96" s="38"/>
      <c r="G96" s="38">
        <v>2653497</v>
      </c>
      <c r="H96" s="38"/>
      <c r="I96" s="38">
        <v>723308</v>
      </c>
      <c r="J96" s="38"/>
      <c r="K96" s="38">
        <v>97560</v>
      </c>
      <c r="L96" s="38"/>
      <c r="M96" s="38">
        <v>428933</v>
      </c>
      <c r="N96" s="38"/>
      <c r="O96" s="38">
        <v>6911</v>
      </c>
      <c r="P96" s="38"/>
      <c r="Q96" s="38">
        <v>0</v>
      </c>
      <c r="R96" s="38"/>
      <c r="S96" s="38">
        <v>2733</v>
      </c>
      <c r="T96" s="38"/>
      <c r="U96" s="38">
        <v>0</v>
      </c>
      <c r="V96" s="38"/>
      <c r="W96" s="38">
        <v>480580</v>
      </c>
      <c r="X96" s="38"/>
      <c r="Y96" s="38">
        <v>8133</v>
      </c>
      <c r="Z96" s="38"/>
      <c r="AA96" s="38">
        <v>1242</v>
      </c>
      <c r="AB96" s="38"/>
      <c r="AC96" s="38">
        <f t="shared" si="3"/>
        <v>8812715</v>
      </c>
      <c r="AD96" s="20"/>
      <c r="AE96" s="13"/>
    </row>
    <row r="97" spans="1:31" s="15" customFormat="1" ht="12">
      <c r="A97" s="13" t="s">
        <v>85</v>
      </c>
      <c r="B97" s="13"/>
      <c r="C97" s="38">
        <v>6879885</v>
      </c>
      <c r="D97" s="38"/>
      <c r="E97" s="38">
        <v>3653448</v>
      </c>
      <c r="F97" s="38"/>
      <c r="G97" s="38">
        <v>7625305</v>
      </c>
      <c r="H97" s="38"/>
      <c r="I97" s="38">
        <v>155616</v>
      </c>
      <c r="J97" s="38"/>
      <c r="K97" s="38">
        <v>176513</v>
      </c>
      <c r="L97" s="38"/>
      <c r="M97" s="38">
        <v>791051</v>
      </c>
      <c r="N97" s="38"/>
      <c r="O97" s="38">
        <v>0</v>
      </c>
      <c r="P97" s="38"/>
      <c r="Q97" s="38">
        <v>30000</v>
      </c>
      <c r="R97" s="38"/>
      <c r="S97" s="38">
        <f>799109+107765</f>
        <v>906874</v>
      </c>
      <c r="T97" s="38"/>
      <c r="U97" s="38">
        <v>0</v>
      </c>
      <c r="V97" s="38"/>
      <c r="W97" s="38">
        <v>0</v>
      </c>
      <c r="X97" s="38"/>
      <c r="Y97" s="38">
        <v>1821</v>
      </c>
      <c r="Z97" s="38"/>
      <c r="AA97" s="38">
        <v>492</v>
      </c>
      <c r="AB97" s="38"/>
      <c r="AC97" s="38">
        <f t="shared" si="3"/>
        <v>20221005</v>
      </c>
      <c r="AD97" s="20"/>
      <c r="AE97" s="13"/>
    </row>
    <row r="98" spans="1:31" s="15" customFormat="1" ht="12" hidden="1">
      <c r="A98" s="13" t="s">
        <v>184</v>
      </c>
      <c r="B98" s="1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20"/>
      <c r="AE98" s="13"/>
    </row>
    <row r="99" spans="1:31" s="15" customFormat="1" ht="12">
      <c r="A99" s="13" t="s">
        <v>86</v>
      </c>
      <c r="B99" s="13"/>
      <c r="C99" s="38">
        <v>14174747</v>
      </c>
      <c r="D99" s="38"/>
      <c r="E99" s="38">
        <v>5109003</v>
      </c>
      <c r="F99" s="38"/>
      <c r="G99" s="38">
        <v>5959423</v>
      </c>
      <c r="H99" s="38"/>
      <c r="I99" s="38">
        <v>388597</v>
      </c>
      <c r="J99" s="38"/>
      <c r="K99" s="38">
        <v>104750</v>
      </c>
      <c r="L99" s="38"/>
      <c r="M99" s="38">
        <v>440059</v>
      </c>
      <c r="N99" s="38"/>
      <c r="O99" s="38">
        <v>0</v>
      </c>
      <c r="P99" s="38"/>
      <c r="Q99" s="38">
        <v>90524</v>
      </c>
      <c r="R99" s="38"/>
      <c r="S99" s="38">
        <v>493033</v>
      </c>
      <c r="T99" s="38"/>
      <c r="U99" s="38">
        <v>24271</v>
      </c>
      <c r="V99" s="38"/>
      <c r="W99" s="38">
        <v>433421</v>
      </c>
      <c r="X99" s="38"/>
      <c r="Y99" s="38">
        <v>3675</v>
      </c>
      <c r="Z99" s="38"/>
      <c r="AA99" s="38">
        <v>51</v>
      </c>
      <c r="AB99" s="38"/>
      <c r="AC99" s="38">
        <f t="shared" si="3"/>
        <v>27221554</v>
      </c>
      <c r="AD99" s="20"/>
      <c r="AE99" s="13"/>
    </row>
    <row r="100" spans="1:31" s="15" customFormat="1" ht="12" hidden="1">
      <c r="A100" s="13" t="s">
        <v>185</v>
      </c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20"/>
      <c r="AE100" s="13"/>
    </row>
    <row r="101" spans="1:31" s="15" customFormat="1" ht="12">
      <c r="A101" s="13"/>
      <c r="B101" s="1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13"/>
    </row>
    <row r="102" spans="1:31" s="15" customFormat="1" ht="12">
      <c r="A102" s="13"/>
      <c r="B102" s="13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13"/>
    </row>
    <row r="103" spans="1:31" s="15" customFormat="1" ht="12">
      <c r="A103" s="13"/>
      <c r="B103" s="13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13"/>
    </row>
    <row r="104" spans="1:31" s="15" customFormat="1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s="15" customFormat="1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15" customFormat="1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15" customFormat="1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="15" customFormat="1" ht="12"/>
    <row r="174" s="15" customFormat="1" ht="12"/>
    <row r="175" s="15" customFormat="1" ht="12"/>
    <row r="176" s="15" customFormat="1" ht="12"/>
    <row r="177" s="15" customFormat="1" ht="12"/>
    <row r="178" s="15" customFormat="1" ht="12"/>
    <row r="179" s="15" customFormat="1" ht="12"/>
    <row r="180" s="15" customFormat="1" ht="12"/>
    <row r="181" s="15" customFormat="1" ht="12"/>
    <row r="182" s="15" customFormat="1" ht="12"/>
    <row r="183" s="15" customFormat="1" ht="12"/>
    <row r="184" s="15" customFormat="1" ht="12"/>
    <row r="185" s="15" customFormat="1" ht="12"/>
    <row r="186" s="15" customFormat="1" ht="12"/>
    <row r="187" s="15" customFormat="1" ht="12"/>
    <row r="188" s="15" customFormat="1" ht="12"/>
    <row r="189" s="15" customFormat="1" ht="12"/>
    <row r="190" s="15" customFormat="1" ht="12"/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  <row r="277" s="15" customFormat="1" ht="12"/>
    <row r="278" s="15" customFormat="1" ht="12"/>
    <row r="279" s="15" customFormat="1" ht="12"/>
    <row r="280" s="15" customFormat="1" ht="12"/>
    <row r="281" s="15" customFormat="1" ht="12"/>
    <row r="282" s="15" customFormat="1" ht="12"/>
    <row r="283" s="15" customFormat="1" ht="12"/>
    <row r="284" s="15" customFormat="1" ht="12"/>
    <row r="285" s="15" customFormat="1" ht="12"/>
    <row r="286" s="15" customFormat="1" ht="12"/>
    <row r="287" s="15" customFormat="1" ht="12"/>
    <row r="288" s="15" customFormat="1" ht="12"/>
    <row r="289" s="15" customFormat="1" ht="12"/>
    <row r="290" s="15" customFormat="1" ht="12"/>
    <row r="291" s="15" customFormat="1" ht="12"/>
    <row r="292" s="15" customFormat="1" ht="12"/>
    <row r="293" s="15" customFormat="1" ht="12"/>
    <row r="294" s="15" customFormat="1" ht="12"/>
    <row r="295" s="15" customFormat="1" ht="12"/>
    <row r="296" s="15" customFormat="1" ht="12"/>
    <row r="297" s="15" customFormat="1" ht="12"/>
    <row r="298" s="15" customFormat="1" ht="12"/>
    <row r="299" s="15" customFormat="1" ht="12"/>
    <row r="300" s="15" customFormat="1" ht="12"/>
    <row r="301" s="15" customFormat="1" ht="12"/>
    <row r="302" s="15" customFormat="1" ht="12"/>
    <row r="303" s="15" customFormat="1" ht="12"/>
    <row r="304" s="15" customFormat="1" ht="12"/>
    <row r="305" s="15" customFormat="1" ht="12"/>
    <row r="306" s="15" customFormat="1" ht="12"/>
    <row r="307" s="15" customFormat="1" ht="12"/>
    <row r="308" s="15" customFormat="1" ht="12"/>
    <row r="309" s="15" customFormat="1" ht="12"/>
    <row r="310" s="15" customFormat="1" ht="12"/>
    <row r="311" s="15" customFormat="1" ht="12"/>
    <row r="312" s="15" customFormat="1" ht="12"/>
    <row r="313" s="15" customFormat="1" ht="12"/>
    <row r="314" s="15" customFormat="1" ht="12"/>
    <row r="315" s="15" customFormat="1" ht="12"/>
    <row r="316" s="15" customFormat="1" ht="12"/>
    <row r="317" s="15" customFormat="1" ht="12"/>
    <row r="318" s="15" customFormat="1" ht="12"/>
    <row r="319" s="15" customFormat="1" ht="12"/>
    <row r="320" s="15" customFormat="1" ht="12"/>
    <row r="321" s="15" customFormat="1" ht="12"/>
    <row r="322" s="15" customFormat="1" ht="12"/>
    <row r="323" s="15" customFormat="1" ht="12"/>
    <row r="324" s="15" customFormat="1" ht="12"/>
    <row r="325" s="15" customFormat="1" ht="12"/>
    <row r="326" s="15" customFormat="1" ht="12"/>
    <row r="327" s="15" customFormat="1" ht="12"/>
    <row r="328" s="15" customFormat="1" ht="12"/>
    <row r="329" s="15" customFormat="1" ht="12"/>
    <row r="330" s="15" customFormat="1" ht="12"/>
    <row r="331" s="15" customFormat="1" ht="12"/>
    <row r="332" s="15" customFormat="1" ht="12"/>
    <row r="333" s="15" customFormat="1" ht="12"/>
    <row r="334" s="15" customFormat="1" ht="12"/>
    <row r="335" s="15" customFormat="1" ht="12"/>
    <row r="336" s="15" customFormat="1" ht="12"/>
    <row r="337" s="15" customFormat="1" ht="12"/>
    <row r="338" s="15" customFormat="1" ht="12"/>
    <row r="339" s="15" customFormat="1" ht="12"/>
    <row r="340" s="15" customFormat="1" ht="12"/>
    <row r="341" s="15" customFormat="1" ht="12"/>
    <row r="342" s="15" customFormat="1" ht="12"/>
    <row r="343" s="15" customFormat="1" ht="12"/>
    <row r="344" s="15" customFormat="1" ht="12"/>
    <row r="345" s="15" customFormat="1" ht="12"/>
    <row r="346" s="15" customFormat="1" ht="12"/>
    <row r="347" s="15" customFormat="1" ht="12"/>
    <row r="348" s="15" customFormat="1" ht="12"/>
    <row r="349" s="15" customFormat="1" ht="12"/>
    <row r="350" s="15" customFormat="1" ht="12"/>
    <row r="351" s="15" customFormat="1" ht="12"/>
    <row r="352" s="15" customFormat="1" ht="12"/>
    <row r="353" s="15" customFormat="1" ht="12"/>
    <row r="354" s="15" customFormat="1" ht="12"/>
    <row r="355" s="15" customFormat="1" ht="12"/>
    <row r="356" s="15" customFormat="1" ht="12"/>
    <row r="357" s="15" customFormat="1" ht="12"/>
    <row r="358" s="15" customFormat="1" ht="12"/>
    <row r="359" s="15" customFormat="1" ht="12"/>
    <row r="360" s="15" customFormat="1" ht="12"/>
    <row r="361" s="15" customFormat="1" ht="12"/>
    <row r="362" s="15" customFormat="1" ht="12"/>
    <row r="363" s="15" customFormat="1" ht="12"/>
    <row r="364" s="15" customFormat="1" ht="12"/>
    <row r="365" s="15" customFormat="1" ht="12"/>
    <row r="366" s="15" customFormat="1" ht="12"/>
    <row r="367" s="15" customFormat="1" ht="12"/>
    <row r="368" s="15" customFormat="1" ht="12"/>
    <row r="369" s="15" customFormat="1" ht="12"/>
    <row r="370" s="15" customFormat="1" ht="12"/>
    <row r="371" s="15" customFormat="1" ht="12"/>
    <row r="372" s="15" customFormat="1" ht="12"/>
    <row r="373" s="15" customFormat="1" ht="12"/>
    <row r="374" s="15" customFormat="1" ht="12"/>
    <row r="375" s="15" customFormat="1" ht="12"/>
    <row r="376" s="15" customFormat="1" ht="12"/>
    <row r="377" s="15" customFormat="1" ht="12"/>
    <row r="378" s="15" customFormat="1" ht="12"/>
    <row r="379" s="15" customFormat="1" ht="12"/>
    <row r="380" s="15" customFormat="1" ht="12"/>
    <row r="381" s="15" customFormat="1" ht="12"/>
    <row r="382" s="15" customFormat="1" ht="12"/>
    <row r="383" s="15" customFormat="1" ht="12"/>
    <row r="384" s="15" customFormat="1" ht="12"/>
    <row r="385" s="15" customFormat="1" ht="12"/>
    <row r="386" s="15" customFormat="1" ht="12"/>
    <row r="387" s="15" customFormat="1" ht="12"/>
    <row r="388" s="15" customFormat="1" ht="12"/>
    <row r="389" s="15" customFormat="1" ht="12"/>
    <row r="390" s="15" customFormat="1" ht="12"/>
    <row r="391" s="15" customFormat="1" ht="12"/>
    <row r="392" s="15" customFormat="1" ht="12"/>
    <row r="393" s="15" customFormat="1" ht="12"/>
    <row r="394" s="15" customFormat="1" ht="12"/>
    <row r="395" s="15" customFormat="1" ht="12"/>
    <row r="396" s="15" customFormat="1" ht="12"/>
    <row r="397" s="15" customFormat="1" ht="12"/>
    <row r="398" s="15" customFormat="1" ht="12"/>
    <row r="399" s="15" customFormat="1" ht="12"/>
    <row r="400" s="15" customFormat="1" ht="12"/>
    <row r="401" s="15" customFormat="1" ht="12"/>
    <row r="402" s="15" customFormat="1" ht="12"/>
    <row r="403" s="15" customFormat="1" ht="12"/>
    <row r="404" s="15" customFormat="1" ht="12"/>
    <row r="405" s="15" customFormat="1" ht="12"/>
    <row r="406" s="15" customFormat="1" ht="12"/>
    <row r="407" s="15" customFormat="1" ht="12"/>
    <row r="408" s="15" customFormat="1" ht="12"/>
    <row r="409" s="15" customFormat="1" ht="12"/>
    <row r="410" s="15" customFormat="1" ht="12"/>
    <row r="411" s="15" customFormat="1" ht="12"/>
    <row r="412" s="15" customFormat="1" ht="12"/>
    <row r="413" s="15" customFormat="1" ht="12"/>
    <row r="414" s="15" customFormat="1" ht="12"/>
    <row r="415" s="15" customFormat="1" ht="12"/>
    <row r="416" s="15" customFormat="1" ht="12"/>
    <row r="417" s="15" customFormat="1" ht="12"/>
    <row r="418" s="15" customFormat="1" ht="12"/>
    <row r="419" s="15" customFormat="1" ht="12"/>
    <row r="420" s="15" customFormat="1" ht="12"/>
    <row r="421" s="15" customFormat="1" ht="12"/>
    <row r="422" s="15" customFormat="1" ht="12"/>
    <row r="423" s="15" customFormat="1" ht="12"/>
    <row r="424" s="15" customFormat="1" ht="12"/>
    <row r="425" s="15" customFormat="1" ht="12"/>
    <row r="426" s="15" customFormat="1" ht="12"/>
    <row r="427" s="15" customFormat="1" ht="12"/>
    <row r="428" s="15" customFormat="1" ht="12"/>
    <row r="429" s="15" customFormat="1" ht="12"/>
    <row r="430" s="15" customFormat="1" ht="12"/>
    <row r="431" s="15" customFormat="1" ht="12"/>
    <row r="432" s="15" customFormat="1" ht="12"/>
    <row r="433" s="15" customFormat="1" ht="12"/>
    <row r="434" s="15" customFormat="1" ht="12"/>
    <row r="435" s="15" customFormat="1" ht="12"/>
    <row r="436" s="15" customFormat="1" ht="12"/>
    <row r="437" s="15" customFormat="1" ht="12"/>
    <row r="438" s="15" customFormat="1" ht="12"/>
    <row r="439" s="15" customFormat="1" ht="12"/>
    <row r="440" s="15" customFormat="1" ht="12"/>
    <row r="441" s="15" customFormat="1" ht="12"/>
    <row r="442" s="15" customFormat="1" ht="12"/>
    <row r="443" s="15" customFormat="1" ht="12"/>
    <row r="444" s="15" customFormat="1" ht="12"/>
    <row r="445" s="15" customFormat="1" ht="12"/>
    <row r="446" s="15" customFormat="1" ht="12"/>
    <row r="447" s="15" customFormat="1" ht="12"/>
    <row r="448" s="15" customFormat="1" ht="12"/>
    <row r="449" s="15" customFormat="1" ht="12"/>
    <row r="450" s="15" customFormat="1" ht="12"/>
    <row r="451" s="15" customFormat="1" ht="12"/>
    <row r="452" s="15" customFormat="1" ht="12"/>
    <row r="453" s="15" customFormat="1" ht="12"/>
    <row r="454" s="15" customFormat="1" ht="12"/>
    <row r="455" s="15" customFormat="1" ht="12"/>
    <row r="456" s="15" customFormat="1" ht="12"/>
    <row r="457" s="15" customFormat="1" ht="12"/>
    <row r="458" s="15" customFormat="1" ht="12"/>
    <row r="459" s="15" customFormat="1" ht="12"/>
    <row r="460" s="15" customFormat="1" ht="12"/>
    <row r="461" s="15" customFormat="1" ht="12"/>
    <row r="462" s="15" customFormat="1" ht="12"/>
    <row r="463" s="15" customFormat="1" ht="12"/>
    <row r="464" s="15" customFormat="1" ht="12"/>
    <row r="465" s="15" customFormat="1" ht="12"/>
    <row r="466" s="15" customFormat="1" ht="12"/>
    <row r="467" s="15" customFormat="1" ht="12"/>
    <row r="468" s="15" customFormat="1" ht="12"/>
    <row r="469" s="15" customFormat="1" ht="12"/>
    <row r="470" s="15" customFormat="1" ht="12"/>
    <row r="471" s="15" customFormat="1" ht="12"/>
    <row r="472" s="15" customFormat="1" ht="12"/>
    <row r="473" s="15" customFormat="1" ht="12"/>
    <row r="474" s="15" customFormat="1" ht="12"/>
    <row r="475" s="15" customFormat="1" ht="12"/>
    <row r="476" s="15" customFormat="1" ht="12"/>
    <row r="477" s="15" customFormat="1" ht="12"/>
    <row r="478" s="15" customFormat="1" ht="12"/>
    <row r="479" s="15" customFormat="1" ht="12"/>
    <row r="480" s="15" customFormat="1" ht="12"/>
    <row r="481" s="15" customFormat="1" ht="12"/>
    <row r="482" s="15" customFormat="1" ht="12"/>
    <row r="483" s="15" customFormat="1" ht="12"/>
    <row r="484" s="15" customFormat="1" ht="12"/>
    <row r="485" s="15" customFormat="1" ht="12"/>
    <row r="486" s="15" customFormat="1" ht="12"/>
    <row r="487" s="15" customFormat="1" ht="12"/>
    <row r="488" s="15" customFormat="1" ht="12"/>
    <row r="489" s="15" customFormat="1" ht="12"/>
    <row r="490" s="15" customFormat="1" ht="12"/>
    <row r="491" s="15" customFormat="1" ht="12"/>
    <row r="492" s="15" customFormat="1" ht="12"/>
    <row r="493" s="15" customFormat="1" ht="12"/>
    <row r="494" s="15" customFormat="1" ht="12"/>
    <row r="495" s="15" customFormat="1" ht="12"/>
    <row r="496" s="15" customFormat="1" ht="12"/>
    <row r="497" s="15" customFormat="1" ht="12"/>
    <row r="498" s="15" customFormat="1" ht="12"/>
    <row r="499" s="15" customFormat="1" ht="12"/>
    <row r="500" s="15" customFormat="1" ht="12"/>
    <row r="501" s="15" customFormat="1" ht="12"/>
    <row r="502" s="15" customFormat="1" ht="12"/>
    <row r="503" s="15" customFormat="1" ht="12"/>
    <row r="504" s="15" customFormat="1" ht="12"/>
    <row r="505" s="15" customFormat="1" ht="12"/>
    <row r="506" s="15" customFormat="1" ht="12"/>
    <row r="507" s="15" customFormat="1" ht="12"/>
    <row r="508" s="15" customFormat="1" ht="12"/>
    <row r="509" s="15" customFormat="1" ht="12"/>
    <row r="510" s="15" customFormat="1" ht="12"/>
    <row r="511" s="15" customFormat="1" ht="12"/>
    <row r="512" s="15" customFormat="1" ht="12"/>
    <row r="513" s="15" customFormat="1" ht="12"/>
    <row r="514" s="15" customFormat="1" ht="12"/>
    <row r="515" s="15" customFormat="1" ht="12"/>
    <row r="516" s="15" customFormat="1" ht="12"/>
    <row r="517" s="15" customFormat="1" ht="12"/>
    <row r="518" s="15" customFormat="1" ht="12"/>
    <row r="519" s="15" customFormat="1" ht="12"/>
    <row r="520" s="15" customFormat="1" ht="12"/>
    <row r="521" s="15" customFormat="1" ht="12"/>
    <row r="522" s="15" customFormat="1" ht="12"/>
    <row r="523" s="15" customFormat="1" ht="12"/>
    <row r="524" s="15" customFormat="1" ht="12"/>
    <row r="525" s="15" customFormat="1" ht="12"/>
    <row r="526" s="15" customFormat="1" ht="12"/>
    <row r="527" s="15" customFormat="1" ht="12"/>
    <row r="528" s="15" customFormat="1" ht="12"/>
    <row r="529" s="15" customFormat="1" ht="12"/>
    <row r="530" s="15" customFormat="1" ht="12"/>
    <row r="531" s="15" customFormat="1" ht="12"/>
    <row r="532" s="15" customFormat="1" ht="12"/>
    <row r="533" s="15" customFormat="1" ht="12"/>
    <row r="534" s="15" customFormat="1" ht="12"/>
    <row r="535" s="15" customFormat="1" ht="12"/>
    <row r="536" s="15" customFormat="1" ht="12"/>
    <row r="537" s="15" customFormat="1" ht="12"/>
    <row r="538" s="15" customFormat="1" ht="12"/>
    <row r="539" s="15" customFormat="1" ht="12"/>
    <row r="540" s="15" customFormat="1" ht="12"/>
    <row r="541" s="15" customFormat="1" ht="12"/>
    <row r="542" s="15" customFormat="1" ht="12"/>
    <row r="543" s="15" customFormat="1" ht="12"/>
    <row r="544" s="15" customFormat="1" ht="12"/>
    <row r="545" s="15" customFormat="1" ht="12"/>
    <row r="546" s="15" customFormat="1" ht="12"/>
    <row r="547" s="15" customFormat="1" ht="12"/>
    <row r="548" s="15" customFormat="1" ht="12"/>
    <row r="549" s="15" customFormat="1" ht="12"/>
    <row r="550" s="15" customFormat="1" ht="12"/>
    <row r="551" s="15" customFormat="1" ht="12"/>
    <row r="552" s="15" customFormat="1" ht="12"/>
    <row r="553" s="15" customFormat="1" ht="12"/>
    <row r="554" s="15" customFormat="1" ht="12"/>
    <row r="555" s="15" customFormat="1" ht="12"/>
    <row r="556" s="15" customFormat="1" ht="12"/>
    <row r="557" s="15" customFormat="1" ht="12"/>
    <row r="558" s="15" customFormat="1" ht="12"/>
    <row r="559" s="15" customFormat="1" ht="12"/>
    <row r="560" s="15" customFormat="1" ht="12"/>
    <row r="561" s="15" customFormat="1" ht="12"/>
    <row r="562" s="15" customFormat="1" ht="12"/>
    <row r="563" s="15" customFormat="1" ht="12"/>
    <row r="564" s="15" customFormat="1" ht="12"/>
    <row r="565" s="15" customFormat="1" ht="12"/>
    <row r="566" s="15" customFormat="1" ht="12"/>
    <row r="567" s="15" customFormat="1" ht="12"/>
    <row r="568" s="15" customFormat="1" ht="12"/>
    <row r="569" s="15" customFormat="1" ht="12"/>
    <row r="570" s="15" customFormat="1" ht="12"/>
    <row r="571" s="15" customFormat="1" ht="12"/>
    <row r="572" s="15" customFormat="1" ht="12"/>
    <row r="573" s="15" customFormat="1" ht="12"/>
    <row r="574" s="15" customFormat="1" ht="12"/>
    <row r="575" s="15" customFormat="1" ht="12"/>
    <row r="576" s="15" customFormat="1" ht="12"/>
    <row r="577" s="15" customFormat="1" ht="12"/>
    <row r="578" s="15" customFormat="1" ht="12"/>
    <row r="579" s="15" customFormat="1" ht="12"/>
    <row r="580" s="15" customFormat="1" ht="12"/>
    <row r="581" s="15" customFormat="1" ht="12"/>
    <row r="582" s="15" customFormat="1" ht="12"/>
    <row r="583" s="15" customFormat="1" ht="12"/>
    <row r="584" s="15" customFormat="1" ht="12"/>
    <row r="585" s="15" customFormat="1" ht="12"/>
    <row r="586" s="15" customFormat="1" ht="12"/>
    <row r="587" s="15" customFormat="1" ht="12"/>
    <row r="588" s="15" customFormat="1" ht="12"/>
    <row r="589" s="15" customFormat="1" ht="12"/>
    <row r="590" s="15" customFormat="1" ht="12"/>
    <row r="591" s="15" customFormat="1" ht="12"/>
    <row r="592" s="15" customFormat="1" ht="12"/>
    <row r="593" s="15" customFormat="1" ht="12"/>
    <row r="594" s="15" customFormat="1" ht="12"/>
    <row r="595" s="15" customFormat="1" ht="12"/>
    <row r="596" s="15" customFormat="1" ht="12"/>
    <row r="597" s="15" customFormat="1" ht="12"/>
    <row r="598" s="15" customFormat="1" ht="12"/>
    <row r="599" s="15" customFormat="1" ht="12"/>
    <row r="600" s="15" customFormat="1" ht="12"/>
    <row r="601" s="15" customFormat="1" ht="12"/>
    <row r="602" s="15" customFormat="1" ht="12"/>
    <row r="603" s="15" customFormat="1" ht="12"/>
    <row r="604" s="15" customFormat="1" ht="12"/>
    <row r="605" s="15" customFormat="1" ht="12"/>
    <row r="606" s="15" customFormat="1" ht="12"/>
  </sheetData>
  <printOptions/>
  <pageMargins left="1" right="1" top="0.5" bottom="0.5" header="0" footer="0.25"/>
  <pageSetup firstPageNumber="18" useFirstPageNumber="1" horizontalDpi="600" verticalDpi="600" orientation="portrait" pageOrder="overThenDown" scale="85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5" customWidth="1"/>
    <col min="2" max="2" width="1.7109375" style="15" customWidth="1"/>
    <col min="3" max="3" width="11.7109375" style="15" customWidth="1"/>
    <col min="4" max="4" width="1.7109375" style="15" customWidth="1"/>
    <col min="5" max="5" width="11.7109375" style="15" customWidth="1"/>
    <col min="6" max="6" width="1.7109375" style="15" customWidth="1"/>
    <col min="7" max="7" width="11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1.7109375" style="15" customWidth="1"/>
    <col min="12" max="12" width="1.7109375" style="15" customWidth="1"/>
    <col min="13" max="13" width="11.7109375" style="15" customWidth="1"/>
    <col min="14" max="14" width="1.7109375" style="15" customWidth="1"/>
    <col min="15" max="15" width="11.7109375" style="15" customWidth="1"/>
    <col min="16" max="16" width="1.7109375" style="15" customWidth="1"/>
    <col min="17" max="17" width="11.7109375" style="15" customWidth="1"/>
    <col min="18" max="18" width="10.140625" style="2" bestFit="1" customWidth="1"/>
    <col min="19" max="19" width="11.7109375" style="2" customWidth="1"/>
    <col min="20" max="20" width="9.140625" style="2" customWidth="1"/>
    <col min="21" max="21" width="11.7109375" style="2" customWidth="1"/>
    <col min="22" max="22" width="9.140625" style="2" customWidth="1"/>
    <col min="23" max="23" width="11.7109375" style="2" customWidth="1"/>
    <col min="24" max="24" width="9.140625" style="2" customWidth="1"/>
    <col min="25" max="25" width="11.7109375" style="2" customWidth="1"/>
    <col min="26" max="16384" width="9.140625" style="2" customWidth="1"/>
  </cols>
  <sheetData>
    <row r="1" spans="1:18" s="1" customFormat="1" ht="12">
      <c r="A1" s="17" t="s">
        <v>251</v>
      </c>
      <c r="B1" s="17"/>
      <c r="C1" s="17"/>
      <c r="D1" s="17"/>
      <c r="E1" s="19"/>
      <c r="F1" s="19"/>
      <c r="G1" s="19"/>
      <c r="H1" s="19"/>
      <c r="I1" s="19"/>
      <c r="J1" s="7"/>
      <c r="K1" s="7"/>
      <c r="L1" s="7"/>
      <c r="M1" s="7"/>
      <c r="N1" s="7"/>
      <c r="O1" s="7"/>
      <c r="P1" s="7"/>
      <c r="Q1" s="7"/>
      <c r="R1" s="18"/>
    </row>
    <row r="2" spans="1:18" s="1" customFormat="1" ht="12">
      <c r="A2" s="17" t="s">
        <v>154</v>
      </c>
      <c r="B2" s="17"/>
      <c r="C2" s="17"/>
      <c r="D2" s="17"/>
      <c r="E2" s="19"/>
      <c r="F2" s="1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8"/>
    </row>
    <row r="3" spans="1:18" s="1" customFormat="1" ht="12">
      <c r="A3" s="6" t="s">
        <v>197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8"/>
    </row>
    <row r="4" spans="2:18" ht="12">
      <c r="B4" s="13"/>
      <c r="C4" s="13"/>
      <c r="D4" s="13"/>
      <c r="E4" s="13"/>
      <c r="F4" s="13"/>
      <c r="G4" s="13"/>
      <c r="H4" s="13"/>
      <c r="I4" s="13" t="s">
        <v>252</v>
      </c>
      <c r="J4" s="13"/>
      <c r="K4" s="13"/>
      <c r="L4" s="13"/>
      <c r="M4" s="13"/>
      <c r="N4" s="13"/>
      <c r="O4" s="13"/>
      <c r="P4" s="13"/>
      <c r="Q4" s="13"/>
      <c r="R4" s="8"/>
    </row>
    <row r="5" spans="1:18" ht="12">
      <c r="A5" s="105" t="s">
        <v>246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8"/>
    </row>
    <row r="6" spans="1:18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85"/>
      <c r="P6" s="13"/>
      <c r="Q6" s="13"/>
      <c r="R6" s="8"/>
    </row>
    <row r="7" spans="1:18" ht="12">
      <c r="A7" s="3"/>
      <c r="B7" s="3"/>
      <c r="C7" s="3" t="s">
        <v>149</v>
      </c>
      <c r="D7" s="3"/>
      <c r="E7" s="3" t="s">
        <v>164</v>
      </c>
      <c r="F7" s="3"/>
      <c r="G7" s="3" t="s">
        <v>107</v>
      </c>
      <c r="H7" s="3"/>
      <c r="I7" s="3" t="s">
        <v>0</v>
      </c>
      <c r="J7" s="3"/>
      <c r="K7" s="3" t="s">
        <v>1</v>
      </c>
      <c r="L7" s="3"/>
      <c r="M7" s="3" t="s">
        <v>2</v>
      </c>
      <c r="N7" s="3"/>
      <c r="O7" s="3" t="s">
        <v>249</v>
      </c>
      <c r="P7" s="3"/>
      <c r="Q7" s="3" t="s">
        <v>3</v>
      </c>
      <c r="R7" s="8"/>
    </row>
    <row r="8" spans="1:255" ht="12">
      <c r="A8" s="4" t="s">
        <v>4</v>
      </c>
      <c r="B8" s="3"/>
      <c r="C8" s="4" t="s">
        <v>248</v>
      </c>
      <c r="D8" s="13"/>
      <c r="E8" s="4" t="s">
        <v>5</v>
      </c>
      <c r="F8" s="13"/>
      <c r="G8" s="4" t="s">
        <v>5</v>
      </c>
      <c r="H8" s="13"/>
      <c r="I8" s="4" t="s">
        <v>7</v>
      </c>
      <c r="J8" s="13"/>
      <c r="K8" s="4" t="s">
        <v>8</v>
      </c>
      <c r="L8" s="13"/>
      <c r="M8" s="4" t="s">
        <v>9</v>
      </c>
      <c r="N8" s="13"/>
      <c r="O8" s="4" t="s">
        <v>10</v>
      </c>
      <c r="P8" s="13"/>
      <c r="Q8" s="4" t="s">
        <v>11</v>
      </c>
      <c r="R8" s="2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ht="12" hidden="1">
      <c r="A9" s="15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6"/>
      <c r="R9" s="2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3:255" ht="1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6"/>
      <c r="R10" s="2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ht="12">
      <c r="A11" s="15" t="s">
        <v>13</v>
      </c>
      <c r="C11" s="63">
        <v>10337405</v>
      </c>
      <c r="D11" s="63"/>
      <c r="E11" s="63">
        <v>12107323</v>
      </c>
      <c r="F11" s="63"/>
      <c r="G11" s="63">
        <v>0</v>
      </c>
      <c r="H11" s="63"/>
      <c r="I11" s="63">
        <v>6367045</v>
      </c>
      <c r="J11" s="63"/>
      <c r="K11" s="63">
        <v>26153451</v>
      </c>
      <c r="L11" s="63"/>
      <c r="M11" s="61">
        <v>1713519</v>
      </c>
      <c r="N11" s="61"/>
      <c r="O11" s="61">
        <f>3193972+365900+86075+1614139+958877+2782598-62531</f>
        <v>8939030</v>
      </c>
      <c r="P11" s="61"/>
      <c r="Q11" s="63">
        <f>SUM(C11:O11)</f>
        <v>65617773</v>
      </c>
      <c r="R11" s="2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ht="12">
      <c r="A12" s="15" t="s">
        <v>14</v>
      </c>
      <c r="C12" s="9">
        <v>4488949</v>
      </c>
      <c r="D12" s="9"/>
      <c r="E12" s="9">
        <v>5214917</v>
      </c>
      <c r="F12" s="9"/>
      <c r="G12" s="9">
        <v>165967</v>
      </c>
      <c r="H12" s="9"/>
      <c r="I12" s="9">
        <v>7029391</v>
      </c>
      <c r="J12" s="9"/>
      <c r="K12" s="9">
        <v>14520651</v>
      </c>
      <c r="L12" s="9"/>
      <c r="M12" s="9">
        <v>0</v>
      </c>
      <c r="N12" s="9"/>
      <c r="O12" s="9">
        <f>147366+187666+707782+141474+1096517</f>
        <v>2280805</v>
      </c>
      <c r="P12" s="9"/>
      <c r="Q12" s="16">
        <f>SUM(C12:O12)</f>
        <v>33700680</v>
      </c>
      <c r="R12" s="2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ht="12">
      <c r="A13" s="15" t="s">
        <v>15</v>
      </c>
      <c r="C13" s="9">
        <v>14040463</v>
      </c>
      <c r="D13" s="9"/>
      <c r="E13" s="9">
        <v>8727481</v>
      </c>
      <c r="F13" s="9"/>
      <c r="G13" s="9">
        <v>0</v>
      </c>
      <c r="H13" s="9"/>
      <c r="I13" s="9">
        <v>7555654</v>
      </c>
      <c r="J13" s="9"/>
      <c r="K13" s="9">
        <f>54843476-407126</f>
        <v>54436350</v>
      </c>
      <c r="L13" s="9"/>
      <c r="M13" s="9">
        <v>303582</v>
      </c>
      <c r="N13" s="9"/>
      <c r="O13" s="9">
        <f>115400+683636+904023+1110339-10567-24745</f>
        <v>2778086</v>
      </c>
      <c r="P13" s="9"/>
      <c r="Q13" s="16">
        <f aca="true" t="shared" si="0" ref="Q13:Q81">SUM(C13:O13)</f>
        <v>87841616</v>
      </c>
      <c r="R13" s="2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ht="12">
      <c r="A14" s="15" t="s">
        <v>16</v>
      </c>
      <c r="C14" s="9">
        <v>13036379</v>
      </c>
      <c r="D14" s="9"/>
      <c r="E14" s="10">
        <v>0</v>
      </c>
      <c r="F14" s="10"/>
      <c r="G14" s="10">
        <v>0</v>
      </c>
      <c r="H14" s="10"/>
      <c r="I14" s="9">
        <v>3369514</v>
      </c>
      <c r="J14" s="9"/>
      <c r="K14" s="9">
        <v>25415058</v>
      </c>
      <c r="L14" s="9"/>
      <c r="M14" s="9">
        <v>0</v>
      </c>
      <c r="N14" s="9"/>
      <c r="O14" s="9">
        <f>92726+194127+682994+3652208-151-15472</f>
        <v>4606432</v>
      </c>
      <c r="P14" s="9"/>
      <c r="Q14" s="16">
        <f t="shared" si="0"/>
        <v>46427383</v>
      </c>
      <c r="R14" s="46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ht="12">
      <c r="A15" s="15" t="s">
        <v>17</v>
      </c>
      <c r="C15" s="9">
        <v>4625410</v>
      </c>
      <c r="D15" s="9"/>
      <c r="E15" s="9">
        <f>5503874+490370</f>
        <v>5994244</v>
      </c>
      <c r="F15" s="9"/>
      <c r="G15" s="9">
        <v>0</v>
      </c>
      <c r="H15" s="9"/>
      <c r="I15" s="9">
        <v>2344103</v>
      </c>
      <c r="J15" s="9"/>
      <c r="K15" s="9">
        <v>9269085</v>
      </c>
      <c r="L15" s="9"/>
      <c r="M15" s="9">
        <v>455402</v>
      </c>
      <c r="N15" s="9"/>
      <c r="O15" s="9">
        <f>614857+521972+596996+4726-45062</f>
        <v>1693489</v>
      </c>
      <c r="P15" s="9"/>
      <c r="Q15" s="16">
        <f t="shared" si="0"/>
        <v>24381733</v>
      </c>
      <c r="R15" s="46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12">
      <c r="A16" s="15" t="s">
        <v>18</v>
      </c>
      <c r="C16" s="22">
        <v>8452976</v>
      </c>
      <c r="D16" s="22"/>
      <c r="E16" s="22">
        <v>12164190</v>
      </c>
      <c r="F16" s="22"/>
      <c r="G16" s="22">
        <v>0</v>
      </c>
      <c r="H16" s="22"/>
      <c r="I16" s="22">
        <v>3753785</v>
      </c>
      <c r="J16" s="22"/>
      <c r="K16" s="22">
        <v>26462580</v>
      </c>
      <c r="L16" s="22"/>
      <c r="M16" s="9">
        <v>0</v>
      </c>
      <c r="N16" s="9"/>
      <c r="O16" s="22">
        <f>166680+1524680+1077861+259601+2008989-1361</f>
        <v>5036450</v>
      </c>
      <c r="P16" s="22"/>
      <c r="Q16" s="16">
        <f t="shared" si="0"/>
        <v>55869981</v>
      </c>
      <c r="R16" s="46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ht="12">
      <c r="A17" s="15" t="s">
        <v>99</v>
      </c>
      <c r="C17" s="15">
        <f>2773992</f>
        <v>2773992</v>
      </c>
      <c r="E17" s="15">
        <v>2910615</v>
      </c>
      <c r="G17" s="15">
        <v>0</v>
      </c>
      <c r="I17" s="15">
        <v>3269859</v>
      </c>
      <c r="K17" s="15">
        <v>12305674</v>
      </c>
      <c r="M17" s="15">
        <v>0</v>
      </c>
      <c r="O17" s="15">
        <f>4090+675145+555386+11340+1031192</f>
        <v>2277153</v>
      </c>
      <c r="Q17" s="16">
        <f t="shared" si="0"/>
        <v>23537293</v>
      </c>
      <c r="R17" s="2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ht="12">
      <c r="A18" s="15" t="s">
        <v>19</v>
      </c>
      <c r="C18" s="9">
        <v>58584284</v>
      </c>
      <c r="D18" s="9"/>
      <c r="E18" s="10">
        <v>0</v>
      </c>
      <c r="F18" s="10"/>
      <c r="G18" s="10">
        <v>0</v>
      </c>
      <c r="H18" s="10"/>
      <c r="I18" s="9">
        <v>32316691</v>
      </c>
      <c r="J18" s="9"/>
      <c r="K18" s="9">
        <v>63122392</v>
      </c>
      <c r="L18" s="9"/>
      <c r="M18" s="9">
        <v>2349365</v>
      </c>
      <c r="N18" s="9"/>
      <c r="O18" s="9">
        <f>356079+1496642+8373888-257478+3874230</f>
        <v>13843361</v>
      </c>
      <c r="P18" s="9"/>
      <c r="Q18" s="16">
        <f>SUM(C18:O18)</f>
        <v>170216093</v>
      </c>
      <c r="R18" s="2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12">
      <c r="A19" s="15" t="s">
        <v>20</v>
      </c>
      <c r="C19" s="9">
        <f>2906181</f>
        <v>2906181</v>
      </c>
      <c r="D19" s="9"/>
      <c r="E19" s="9">
        <v>1581708</v>
      </c>
      <c r="F19" s="9"/>
      <c r="G19" s="9">
        <v>0</v>
      </c>
      <c r="H19" s="9"/>
      <c r="I19" s="9">
        <v>2420272</v>
      </c>
      <c r="J19" s="9"/>
      <c r="K19" s="9">
        <v>9479032</v>
      </c>
      <c r="L19" s="9"/>
      <c r="M19" s="9">
        <v>17617</v>
      </c>
      <c r="N19" s="9"/>
      <c r="O19" s="9">
        <f>7219+140266+109564+81411+1084273-3105</f>
        <v>1419628</v>
      </c>
      <c r="P19" s="9"/>
      <c r="Q19" s="16">
        <f t="shared" si="0"/>
        <v>17824438</v>
      </c>
      <c r="R19" s="46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</row>
    <row r="20" spans="1:255" ht="12" hidden="1">
      <c r="A20" s="13" t="s">
        <v>177</v>
      </c>
      <c r="B20" s="13"/>
      <c r="Q20" s="16"/>
      <c r="R20" s="2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</row>
    <row r="21" spans="1:255" ht="12">
      <c r="A21" s="15" t="s">
        <v>21</v>
      </c>
      <c r="C21" s="9">
        <v>15563842</v>
      </c>
      <c r="D21" s="9"/>
      <c r="E21" s="9">
        <v>17727306</v>
      </c>
      <c r="F21" s="9"/>
      <c r="G21" s="9">
        <v>0</v>
      </c>
      <c r="H21" s="9"/>
      <c r="I21" s="9">
        <f>12843230</f>
        <v>12843230</v>
      </c>
      <c r="J21" s="9"/>
      <c r="K21" s="9">
        <f>45992860-34093</f>
        <v>45958767</v>
      </c>
      <c r="L21" s="9"/>
      <c r="M21" s="9">
        <v>27588</v>
      </c>
      <c r="N21" s="9"/>
      <c r="O21" s="9">
        <f>411791+802301+1246088+14158291-1822-91134</f>
        <v>16525515</v>
      </c>
      <c r="P21" s="9"/>
      <c r="Q21" s="16">
        <f>SUM(C21:O21)</f>
        <v>108646248</v>
      </c>
      <c r="R21" s="46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ht="12">
      <c r="A22" s="15" t="s">
        <v>194</v>
      </c>
      <c r="C22" s="9">
        <f>38193082-19513566</f>
        <v>18679516</v>
      </c>
      <c r="D22" s="9"/>
      <c r="E22" s="9">
        <v>19513566</v>
      </c>
      <c r="F22" s="9"/>
      <c r="G22" s="9">
        <v>0</v>
      </c>
      <c r="H22" s="9"/>
      <c r="I22" s="9">
        <v>16427657</v>
      </c>
      <c r="J22" s="9"/>
      <c r="K22" s="9">
        <v>40978399</v>
      </c>
      <c r="L22" s="9"/>
      <c r="M22" s="9">
        <v>567484</v>
      </c>
      <c r="N22" s="9"/>
      <c r="O22" s="9">
        <f>104891334-96166622</f>
        <v>8724712</v>
      </c>
      <c r="P22" s="9"/>
      <c r="Q22" s="16">
        <f t="shared" si="0"/>
        <v>104891334</v>
      </c>
      <c r="R22" s="2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12">
      <c r="A23" s="15" t="s">
        <v>23</v>
      </c>
      <c r="C23" s="9">
        <f>3190250</f>
        <v>3190250</v>
      </c>
      <c r="D23" s="9"/>
      <c r="E23" s="9">
        <v>3941905</v>
      </c>
      <c r="F23" s="9"/>
      <c r="G23" s="9">
        <v>0</v>
      </c>
      <c r="H23" s="9"/>
      <c r="I23" s="9">
        <v>2668898</v>
      </c>
      <c r="J23" s="9"/>
      <c r="K23" s="9">
        <v>11822421</v>
      </c>
      <c r="L23" s="9"/>
      <c r="M23" s="9">
        <v>63650</v>
      </c>
      <c r="N23" s="9"/>
      <c r="O23" s="9">
        <f>95778+171102+520735+27524+1747912-41745</f>
        <v>2521306</v>
      </c>
      <c r="P23" s="9"/>
      <c r="Q23" s="16">
        <f t="shared" si="0"/>
        <v>24208430</v>
      </c>
      <c r="R23" s="46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ht="12" hidden="1">
      <c r="A24" s="15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6"/>
      <c r="R24" s="46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ht="12" hidden="1">
      <c r="A25" s="15" t="s">
        <v>25</v>
      </c>
      <c r="C25" s="9"/>
      <c r="D25" s="9"/>
      <c r="E25" s="10"/>
      <c r="F25" s="10"/>
      <c r="G25" s="10"/>
      <c r="H25" s="10"/>
      <c r="I25" s="9"/>
      <c r="J25" s="9"/>
      <c r="K25" s="9"/>
      <c r="L25" s="9"/>
      <c r="M25" s="9"/>
      <c r="N25" s="9"/>
      <c r="O25" s="9"/>
      <c r="P25" s="9"/>
      <c r="Q25" s="16">
        <f t="shared" si="0"/>
        <v>0</v>
      </c>
      <c r="R25" s="2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</row>
    <row r="26" spans="1:255" ht="12">
      <c r="A26" s="15" t="s">
        <v>192</v>
      </c>
      <c r="C26" s="9">
        <v>4388618</v>
      </c>
      <c r="D26" s="9"/>
      <c r="E26" s="9">
        <v>4652408</v>
      </c>
      <c r="F26" s="9"/>
      <c r="G26" s="9">
        <v>0</v>
      </c>
      <c r="H26" s="9"/>
      <c r="I26" s="9">
        <v>5041983</v>
      </c>
      <c r="J26" s="9"/>
      <c r="K26" s="9">
        <v>13437833</v>
      </c>
      <c r="L26" s="9"/>
      <c r="M26" s="9">
        <v>99634</v>
      </c>
      <c r="N26" s="9"/>
      <c r="O26" s="9">
        <f>4261+316478+749710+81952+1392530</f>
        <v>2544931</v>
      </c>
      <c r="P26" s="9"/>
      <c r="Q26" s="16">
        <f t="shared" si="0"/>
        <v>30165407</v>
      </c>
      <c r="R26" s="2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</row>
    <row r="27" spans="1:255" ht="12">
      <c r="A27" s="15" t="s">
        <v>26</v>
      </c>
      <c r="C27" s="9">
        <f>259892000</f>
        <v>259892000</v>
      </c>
      <c r="D27" s="9"/>
      <c r="E27" s="9">
        <f>156713000</f>
        <v>156713000</v>
      </c>
      <c r="F27" s="9"/>
      <c r="G27" s="9">
        <v>28610000</v>
      </c>
      <c r="H27" s="9"/>
      <c r="I27" s="9">
        <v>76868000</v>
      </c>
      <c r="J27" s="9"/>
      <c r="K27" s="9">
        <f>605909000+38988000</f>
        <v>644897000</v>
      </c>
      <c r="L27" s="9"/>
      <c r="M27" s="9">
        <v>0</v>
      </c>
      <c r="N27" s="9"/>
      <c r="O27" s="9">
        <v>51390000</v>
      </c>
      <c r="P27" s="9"/>
      <c r="Q27" s="16">
        <f t="shared" si="0"/>
        <v>1218370000</v>
      </c>
      <c r="R27" s="46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</row>
    <row r="28" spans="1:255" ht="12">
      <c r="A28" s="15" t="s">
        <v>27</v>
      </c>
      <c r="C28" s="9">
        <v>8669252</v>
      </c>
      <c r="D28" s="9"/>
      <c r="E28" s="9">
        <v>0</v>
      </c>
      <c r="F28" s="9"/>
      <c r="G28" s="9">
        <v>0</v>
      </c>
      <c r="H28" s="9"/>
      <c r="I28" s="15">
        <v>2763369</v>
      </c>
      <c r="K28" s="9">
        <v>12088193</v>
      </c>
      <c r="L28" s="9"/>
      <c r="M28" s="9">
        <v>167255</v>
      </c>
      <c r="N28" s="9"/>
      <c r="O28" s="9">
        <f>150071+696552+458806+1136813</f>
        <v>2442242</v>
      </c>
      <c r="P28" s="9"/>
      <c r="Q28" s="16">
        <f t="shared" si="0"/>
        <v>26130311</v>
      </c>
      <c r="R28" s="2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</row>
    <row r="29" spans="1:255" ht="12">
      <c r="A29" s="15" t="s">
        <v>28</v>
      </c>
      <c r="C29" s="9">
        <v>2659466</v>
      </c>
      <c r="D29" s="9"/>
      <c r="E29" s="9">
        <v>4658544</v>
      </c>
      <c r="F29" s="9"/>
      <c r="G29" s="9">
        <v>0</v>
      </c>
      <c r="H29" s="9"/>
      <c r="I29" s="9">
        <v>2587294</v>
      </c>
      <c r="J29" s="9"/>
      <c r="K29" s="9">
        <v>11833054</v>
      </c>
      <c r="L29" s="9"/>
      <c r="M29" s="9">
        <v>660316</v>
      </c>
      <c r="N29" s="9"/>
      <c r="O29" s="9">
        <f>1794857+1487198+169024+3390</f>
        <v>3454469</v>
      </c>
      <c r="P29" s="9"/>
      <c r="Q29" s="16">
        <f t="shared" si="0"/>
        <v>25853143</v>
      </c>
      <c r="R29" s="2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</row>
    <row r="30" spans="1:255" ht="12">
      <c r="A30" s="15" t="s">
        <v>29</v>
      </c>
      <c r="C30" s="9">
        <f>11676632+14826</f>
        <v>11691458</v>
      </c>
      <c r="D30" s="9"/>
      <c r="E30" s="9">
        <v>26069586</v>
      </c>
      <c r="F30" s="9"/>
      <c r="G30" s="9">
        <v>0</v>
      </c>
      <c r="H30" s="9"/>
      <c r="I30" s="9">
        <v>13853395</v>
      </c>
      <c r="J30" s="9"/>
      <c r="K30" s="9">
        <v>20504878</v>
      </c>
      <c r="L30" s="9"/>
      <c r="M30" s="9">
        <v>430663</v>
      </c>
      <c r="N30" s="9"/>
      <c r="O30" s="9">
        <f>2366827+709245+2728342+7693+2628536</f>
        <v>8440643</v>
      </c>
      <c r="P30" s="9"/>
      <c r="Q30" s="16">
        <f t="shared" si="0"/>
        <v>80990623</v>
      </c>
      <c r="R30" s="2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ht="12">
      <c r="A31" s="15" t="s">
        <v>30</v>
      </c>
      <c r="C31" s="9">
        <f>9152918</f>
        <v>9152918</v>
      </c>
      <c r="D31" s="9"/>
      <c r="E31" s="9">
        <v>12241425</v>
      </c>
      <c r="F31" s="9"/>
      <c r="G31" s="9">
        <v>0</v>
      </c>
      <c r="H31" s="9"/>
      <c r="I31" s="9">
        <v>4789488</v>
      </c>
      <c r="J31" s="9"/>
      <c r="K31" s="9">
        <v>28193509</v>
      </c>
      <c r="L31" s="9"/>
      <c r="M31" s="9">
        <v>1157856</v>
      </c>
      <c r="N31" s="9"/>
      <c r="O31" s="9">
        <f>7996+1055466+1161710+166344+1771215-2823</f>
        <v>4159908</v>
      </c>
      <c r="P31" s="9"/>
      <c r="Q31" s="16">
        <f t="shared" si="0"/>
        <v>59695104</v>
      </c>
      <c r="R31" s="2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pans="1:255" ht="12">
      <c r="A32" s="15" t="s">
        <v>31</v>
      </c>
      <c r="C32" s="9">
        <v>11959100</v>
      </c>
      <c r="D32" s="9"/>
      <c r="E32" s="9">
        <v>9988804</v>
      </c>
      <c r="F32" s="9"/>
      <c r="G32" s="9">
        <v>984484</v>
      </c>
      <c r="H32" s="9"/>
      <c r="I32" s="9">
        <v>7212334</v>
      </c>
      <c r="J32" s="9"/>
      <c r="K32" s="9">
        <v>33572302</v>
      </c>
      <c r="L32" s="9"/>
      <c r="M32" s="9">
        <v>299684</v>
      </c>
      <c r="N32" s="9"/>
      <c r="O32" s="9">
        <f>238861+638224+764661+16310+727655+1932138</f>
        <v>4317849</v>
      </c>
      <c r="P32" s="9"/>
      <c r="Q32" s="16">
        <f t="shared" si="0"/>
        <v>68334557</v>
      </c>
      <c r="R32" s="2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ht="12">
      <c r="A33" s="15" t="s">
        <v>32</v>
      </c>
      <c r="C33" s="9">
        <v>3337448</v>
      </c>
      <c r="D33" s="9"/>
      <c r="E33" s="9">
        <v>4564123</v>
      </c>
      <c r="F33" s="9"/>
      <c r="G33" s="9">
        <v>0</v>
      </c>
      <c r="H33" s="9"/>
      <c r="I33" s="9">
        <v>4092647</v>
      </c>
      <c r="J33" s="9"/>
      <c r="K33" s="9">
        <v>10566153</v>
      </c>
      <c r="L33" s="9"/>
      <c r="M33" s="9">
        <v>135855</v>
      </c>
      <c r="N33" s="9"/>
      <c r="O33" s="9">
        <f>55648+298162+249087+53166+426218-19128</f>
        <v>1063153</v>
      </c>
      <c r="P33" s="9"/>
      <c r="Q33" s="16">
        <f t="shared" si="0"/>
        <v>23759379</v>
      </c>
      <c r="R33" s="2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ht="12">
      <c r="A34" s="15" t="s">
        <v>33</v>
      </c>
      <c r="C34" s="9">
        <v>370614000</v>
      </c>
      <c r="D34" s="9"/>
      <c r="E34" s="9">
        <v>0</v>
      </c>
      <c r="F34" s="9"/>
      <c r="G34" s="9">
        <v>0</v>
      </c>
      <c r="H34" s="9"/>
      <c r="I34" s="9">
        <v>74634000</v>
      </c>
      <c r="J34" s="9"/>
      <c r="K34" s="9">
        <v>412664000</v>
      </c>
      <c r="L34" s="9"/>
      <c r="M34" s="9">
        <v>0</v>
      </c>
      <c r="N34" s="9"/>
      <c r="O34" s="9">
        <f>1273000+1656000+24697000+19181000</f>
        <v>46807000</v>
      </c>
      <c r="P34" s="9"/>
      <c r="Q34" s="16">
        <f t="shared" si="0"/>
        <v>904719000</v>
      </c>
      <c r="R34" s="2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ht="12">
      <c r="A35" s="15" t="s">
        <v>34</v>
      </c>
      <c r="C35" s="9">
        <v>3968412</v>
      </c>
      <c r="D35" s="9"/>
      <c r="E35" s="9">
        <v>4406409</v>
      </c>
      <c r="F35" s="9"/>
      <c r="G35" s="9">
        <v>0</v>
      </c>
      <c r="H35" s="9"/>
      <c r="I35" s="9">
        <v>2811869</v>
      </c>
      <c r="J35" s="9"/>
      <c r="K35" s="9">
        <v>10631155</v>
      </c>
      <c r="L35" s="9"/>
      <c r="M35" s="9">
        <v>438961</v>
      </c>
      <c r="N35" s="9"/>
      <c r="O35" s="9">
        <f>14600+540050+1259785+22861+2479670-1230</f>
        <v>4315736</v>
      </c>
      <c r="P35" s="9"/>
      <c r="Q35" s="16">
        <f t="shared" si="0"/>
        <v>26572542</v>
      </c>
      <c r="R35" s="2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ht="12">
      <c r="A36" s="15" t="s">
        <v>35</v>
      </c>
      <c r="C36" s="9">
        <v>6185344</v>
      </c>
      <c r="D36" s="9"/>
      <c r="E36" s="9">
        <v>0</v>
      </c>
      <c r="F36" s="9"/>
      <c r="G36" s="9">
        <v>0</v>
      </c>
      <c r="H36" s="9"/>
      <c r="I36" s="9">
        <v>2505832</v>
      </c>
      <c r="J36" s="9"/>
      <c r="K36" s="9">
        <v>11958128</v>
      </c>
      <c r="L36" s="9"/>
      <c r="M36" s="9">
        <v>0</v>
      </c>
      <c r="N36" s="9"/>
      <c r="O36" s="9">
        <f>3565887+84787+38623+3793-31516</f>
        <v>3661574</v>
      </c>
      <c r="P36" s="9"/>
      <c r="Q36" s="16">
        <f t="shared" si="0"/>
        <v>24310878</v>
      </c>
      <c r="R36" s="2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ht="12">
      <c r="A37" s="15" t="s">
        <v>36</v>
      </c>
      <c r="C37" s="9">
        <v>19189311</v>
      </c>
      <c r="D37" s="9"/>
      <c r="E37" s="9">
        <v>4378012</v>
      </c>
      <c r="F37" s="9"/>
      <c r="G37" s="9">
        <v>492674</v>
      </c>
      <c r="H37" s="9"/>
      <c r="I37" s="9">
        <v>6587174</v>
      </c>
      <c r="J37" s="9"/>
      <c r="K37" s="9">
        <v>28331640</v>
      </c>
      <c r="L37" s="9"/>
      <c r="M37" s="9">
        <v>220454</v>
      </c>
      <c r="N37" s="9"/>
      <c r="O37" s="9">
        <f>1505663+114214+65129+226850+168293+1573798</f>
        <v>3653947</v>
      </c>
      <c r="P37" s="9"/>
      <c r="Q37" s="16">
        <f t="shared" si="0"/>
        <v>62853212</v>
      </c>
      <c r="R37" s="2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ht="12">
      <c r="A38" s="15" t="s">
        <v>195</v>
      </c>
      <c r="C38" s="9">
        <v>37996779</v>
      </c>
      <c r="D38" s="9"/>
      <c r="E38" s="9">
        <v>0</v>
      </c>
      <c r="F38" s="9"/>
      <c r="G38" s="9">
        <v>0</v>
      </c>
      <c r="H38" s="9"/>
      <c r="I38" s="9">
        <v>13291674</v>
      </c>
      <c r="J38" s="9"/>
      <c r="K38" s="9">
        <v>34340201</v>
      </c>
      <c r="L38" s="9"/>
      <c r="M38" s="9">
        <v>153538</v>
      </c>
      <c r="N38" s="9"/>
      <c r="O38" s="9">
        <f>724396+793434+1881489+1767825</f>
        <v>5167144</v>
      </c>
      <c r="P38" s="9"/>
      <c r="Q38" s="16">
        <f t="shared" si="0"/>
        <v>90949336</v>
      </c>
      <c r="R38" s="2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255" ht="12">
      <c r="A39" s="15" t="s">
        <v>37</v>
      </c>
      <c r="C39" s="9">
        <v>5100470</v>
      </c>
      <c r="D39" s="9"/>
      <c r="E39" s="9">
        <v>5303637</v>
      </c>
      <c r="F39" s="9"/>
      <c r="G39" s="9">
        <v>0</v>
      </c>
      <c r="H39" s="9"/>
      <c r="I39" s="9">
        <v>3234650</v>
      </c>
      <c r="J39" s="9"/>
      <c r="K39" s="9">
        <v>20466467</v>
      </c>
      <c r="L39" s="9"/>
      <c r="M39" s="9">
        <v>69624</v>
      </c>
      <c r="N39" s="9"/>
      <c r="O39" s="9">
        <f>90674+538762+841169+296781+314785</f>
        <v>2082171</v>
      </c>
      <c r="P39" s="9"/>
      <c r="Q39" s="16">
        <f t="shared" si="0"/>
        <v>36257019</v>
      </c>
      <c r="R39" s="2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ht="12">
      <c r="A40" s="15" t="s">
        <v>38</v>
      </c>
      <c r="C40" s="9">
        <f>237171000</f>
        <v>237171000</v>
      </c>
      <c r="D40" s="9"/>
      <c r="E40" s="9">
        <f>60007000</f>
        <v>60007000</v>
      </c>
      <c r="F40" s="9"/>
      <c r="G40" s="9">
        <v>0</v>
      </c>
      <c r="H40" s="9"/>
      <c r="I40" s="15">
        <v>150719000</v>
      </c>
      <c r="K40" s="9">
        <f>350207000+46109000</f>
        <v>396316000</v>
      </c>
      <c r="L40" s="9"/>
      <c r="M40" s="9">
        <v>0</v>
      </c>
      <c r="N40" s="9"/>
      <c r="O40" s="9">
        <f>5691000+10318000+24197000+28456000</f>
        <v>68662000</v>
      </c>
      <c r="P40" s="9"/>
      <c r="Q40" s="16">
        <f t="shared" si="0"/>
        <v>912875000</v>
      </c>
      <c r="R40" s="46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ht="12">
      <c r="A41" s="15" t="s">
        <v>39</v>
      </c>
      <c r="C41" s="9">
        <f>6282992+1305251</f>
        <v>7588243</v>
      </c>
      <c r="D41" s="9"/>
      <c r="E41" s="9">
        <v>4934225</v>
      </c>
      <c r="F41" s="9"/>
      <c r="G41" s="9">
        <f>134694</f>
        <v>134694</v>
      </c>
      <c r="H41" s="9"/>
      <c r="I41" s="9">
        <v>5731604</v>
      </c>
      <c r="J41" s="9"/>
      <c r="K41" s="9">
        <v>24002922</v>
      </c>
      <c r="L41" s="9"/>
      <c r="M41" s="9">
        <v>442695</v>
      </c>
      <c r="N41" s="9"/>
      <c r="O41" s="9">
        <v>2455499</v>
      </c>
      <c r="P41" s="9"/>
      <c r="Q41" s="16">
        <f t="shared" si="0"/>
        <v>45289882</v>
      </c>
      <c r="R41" s="46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</row>
    <row r="42" spans="1:255" ht="12" hidden="1">
      <c r="A42" s="15" t="s">
        <v>169</v>
      </c>
      <c r="C42" s="9"/>
      <c r="D42" s="9"/>
      <c r="I42" s="9"/>
      <c r="J42" s="9"/>
      <c r="K42" s="9"/>
      <c r="L42" s="9"/>
      <c r="M42" s="9"/>
      <c r="N42" s="9"/>
      <c r="O42" s="9"/>
      <c r="P42" s="9"/>
      <c r="Q42" s="16"/>
      <c r="R42" s="2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</row>
    <row r="43" spans="1:18" ht="12" hidden="1">
      <c r="A43" s="15" t="s">
        <v>40</v>
      </c>
      <c r="C43" s="10"/>
      <c r="D43" s="10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5"/>
    </row>
    <row r="44" spans="1:18" ht="12">
      <c r="A44" s="15" t="s">
        <v>41</v>
      </c>
      <c r="C44" s="23">
        <v>3292388</v>
      </c>
      <c r="D44" s="23"/>
      <c r="E44" s="23">
        <v>2599775</v>
      </c>
      <c r="F44" s="23"/>
      <c r="G44" s="23">
        <v>0</v>
      </c>
      <c r="H44" s="23"/>
      <c r="I44" s="23">
        <v>2155603</v>
      </c>
      <c r="J44" s="23"/>
      <c r="K44" s="23">
        <v>7987988</v>
      </c>
      <c r="L44" s="23"/>
      <c r="M44" s="23">
        <v>294988</v>
      </c>
      <c r="N44" s="23"/>
      <c r="O44" s="23">
        <v>2710358</v>
      </c>
      <c r="P44" s="23"/>
      <c r="Q44" s="16">
        <f t="shared" si="0"/>
        <v>19041100</v>
      </c>
      <c r="R44" s="15"/>
    </row>
    <row r="45" spans="1:17" ht="12" hidden="1">
      <c r="A45" s="15" t="s">
        <v>42</v>
      </c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">
      <c r="A46" s="15" t="s">
        <v>43</v>
      </c>
      <c r="C46" s="23">
        <v>6649842</v>
      </c>
      <c r="D46" s="23"/>
      <c r="E46" s="23">
        <v>0</v>
      </c>
      <c r="F46" s="23"/>
      <c r="G46" s="23">
        <v>0</v>
      </c>
      <c r="H46" s="23"/>
      <c r="I46" s="23">
        <v>2110025</v>
      </c>
      <c r="J46" s="23"/>
      <c r="K46" s="23">
        <v>10961779</v>
      </c>
      <c r="L46" s="23"/>
      <c r="M46" s="23">
        <v>11282</v>
      </c>
      <c r="N46" s="23"/>
      <c r="O46" s="23">
        <f>441894+214455+328347+83266</f>
        <v>1067962</v>
      </c>
      <c r="P46" s="23"/>
      <c r="Q46" s="16">
        <f t="shared" si="0"/>
        <v>20800890</v>
      </c>
    </row>
    <row r="47" spans="1:18" ht="12">
      <c r="A47" s="15" t="s">
        <v>44</v>
      </c>
      <c r="C47" s="23">
        <v>5441429</v>
      </c>
      <c r="D47" s="23"/>
      <c r="E47" s="23">
        <v>3894274</v>
      </c>
      <c r="F47" s="23"/>
      <c r="G47" s="23">
        <v>0</v>
      </c>
      <c r="H47" s="23"/>
      <c r="I47" s="23">
        <v>2822224</v>
      </c>
      <c r="J47" s="23"/>
      <c r="K47" s="23">
        <v>9600933</v>
      </c>
      <c r="L47" s="23"/>
      <c r="M47" s="23">
        <v>0</v>
      </c>
      <c r="N47" s="23"/>
      <c r="O47" s="23">
        <f>982922+188286+54437+441488+370930+183803</f>
        <v>2221866</v>
      </c>
      <c r="P47" s="23"/>
      <c r="Q47" s="16">
        <f t="shared" si="0"/>
        <v>23980726</v>
      </c>
      <c r="R47" s="15"/>
    </row>
    <row r="48" spans="1:18" ht="12">
      <c r="A48" s="15" t="s">
        <v>45</v>
      </c>
      <c r="C48" s="23">
        <f>11799980</f>
        <v>11799980</v>
      </c>
      <c r="D48" s="23"/>
      <c r="E48" s="23">
        <v>0</v>
      </c>
      <c r="F48" s="23"/>
      <c r="G48" s="23">
        <v>0</v>
      </c>
      <c r="H48" s="23"/>
      <c r="I48" s="23">
        <v>2516804</v>
      </c>
      <c r="J48" s="23"/>
      <c r="K48" s="23">
        <f>20476329-22405</f>
        <v>20453924</v>
      </c>
      <c r="L48" s="23"/>
      <c r="M48" s="23">
        <v>85302</v>
      </c>
      <c r="N48" s="23"/>
      <c r="O48" s="23">
        <f>4885+339114+717181-40+1726796-94232</f>
        <v>2693704</v>
      </c>
      <c r="P48" s="23"/>
      <c r="Q48" s="16">
        <f t="shared" si="0"/>
        <v>37549714</v>
      </c>
      <c r="R48" s="15"/>
    </row>
    <row r="49" spans="1:18" ht="12">
      <c r="A49" s="15" t="s">
        <v>46</v>
      </c>
      <c r="C49" s="23">
        <f>5409753</f>
        <v>5409753</v>
      </c>
      <c r="D49" s="23"/>
      <c r="E49" s="23">
        <v>0</v>
      </c>
      <c r="F49" s="23"/>
      <c r="G49" s="23">
        <v>0</v>
      </c>
      <c r="H49" s="23"/>
      <c r="I49" s="23">
        <v>2025496</v>
      </c>
      <c r="J49" s="23"/>
      <c r="K49" s="23">
        <f>12499463-24097</f>
        <v>12475366</v>
      </c>
      <c r="L49" s="23"/>
      <c r="M49" s="23">
        <v>0</v>
      </c>
      <c r="N49" s="23"/>
      <c r="O49" s="23">
        <f>913606-7471+415973+617306+53332</f>
        <v>1992746</v>
      </c>
      <c r="P49" s="23"/>
      <c r="Q49" s="16">
        <f t="shared" si="0"/>
        <v>21903361</v>
      </c>
      <c r="R49" s="15"/>
    </row>
    <row r="50" spans="1:18" ht="12">
      <c r="A50" s="15" t="s">
        <v>47</v>
      </c>
      <c r="C50" s="23">
        <v>10375639</v>
      </c>
      <c r="D50" s="23"/>
      <c r="E50" s="23">
        <v>8374157</v>
      </c>
      <c r="F50" s="23"/>
      <c r="G50" s="23">
        <v>0</v>
      </c>
      <c r="H50" s="23"/>
      <c r="I50" s="23">
        <v>5074176</v>
      </c>
      <c r="J50" s="23"/>
      <c r="K50" s="23">
        <v>37744547</v>
      </c>
      <c r="L50" s="23"/>
      <c r="M50" s="16">
        <v>0</v>
      </c>
      <c r="N50" s="16"/>
      <c r="O50" s="23">
        <v>3167466</v>
      </c>
      <c r="P50" s="23"/>
      <c r="Q50" s="16">
        <f>SUM(C50:O50)</f>
        <v>64735985</v>
      </c>
      <c r="R50" s="15"/>
    </row>
    <row r="51" spans="1:17" ht="12">
      <c r="A51" s="15" t="s">
        <v>48</v>
      </c>
      <c r="C51" s="23">
        <f>9728904-4278491</f>
        <v>5450413</v>
      </c>
      <c r="D51" s="23"/>
      <c r="E51" s="23">
        <v>4278491</v>
      </c>
      <c r="F51" s="23"/>
      <c r="G51" s="23">
        <v>0</v>
      </c>
      <c r="H51" s="23"/>
      <c r="I51" s="23">
        <v>2983209</v>
      </c>
      <c r="J51" s="23"/>
      <c r="K51" s="23">
        <v>17011475</v>
      </c>
      <c r="L51" s="23"/>
      <c r="M51" s="23">
        <v>185399</v>
      </c>
      <c r="N51" s="23"/>
      <c r="O51" s="23">
        <f>1246036+390210+82526+108978</f>
        <v>1827750</v>
      </c>
      <c r="P51" s="23"/>
      <c r="Q51" s="16">
        <f t="shared" si="0"/>
        <v>31736737</v>
      </c>
    </row>
    <row r="52" spans="1:17" ht="12">
      <c r="A52" s="15" t="s">
        <v>49</v>
      </c>
      <c r="C52" s="23">
        <v>41803764</v>
      </c>
      <c r="D52" s="23"/>
      <c r="E52" s="23">
        <v>14466920</v>
      </c>
      <c r="F52" s="23"/>
      <c r="G52" s="23">
        <v>3703030</v>
      </c>
      <c r="H52" s="23"/>
      <c r="I52" s="23">
        <v>14379650</v>
      </c>
      <c r="J52" s="23"/>
      <c r="K52" s="23">
        <v>60967625</v>
      </c>
      <c r="L52" s="23"/>
      <c r="M52" s="23">
        <v>856683</v>
      </c>
      <c r="N52" s="23"/>
      <c r="O52" s="23">
        <f>5915752+3322476+607141+795648</f>
        <v>10641017</v>
      </c>
      <c r="P52" s="23"/>
      <c r="Q52" s="16">
        <f t="shared" si="0"/>
        <v>146818689</v>
      </c>
    </row>
    <row r="53" spans="1:17" ht="12" hidden="1">
      <c r="A53" s="15" t="s">
        <v>171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6"/>
    </row>
    <row r="54" spans="1:18" ht="12">
      <c r="A54" s="15" t="s">
        <v>50</v>
      </c>
      <c r="C54" s="16">
        <v>31776090</v>
      </c>
      <c r="D54" s="16"/>
      <c r="E54" s="16">
        <v>0</v>
      </c>
      <c r="F54" s="16"/>
      <c r="G54" s="16">
        <v>0</v>
      </c>
      <c r="H54" s="16"/>
      <c r="I54" s="16">
        <v>8610783</v>
      </c>
      <c r="J54" s="16"/>
      <c r="K54" s="23">
        <f>36002003-29460</f>
        <v>35972543</v>
      </c>
      <c r="L54" s="23"/>
      <c r="M54" s="23">
        <v>140831</v>
      </c>
      <c r="N54" s="23"/>
      <c r="O54" s="16">
        <f>1891509+659216+1113586+239824</f>
        <v>3904135</v>
      </c>
      <c r="P54" s="16"/>
      <c r="Q54" s="16">
        <f t="shared" si="0"/>
        <v>80404382</v>
      </c>
      <c r="R54" s="15"/>
    </row>
    <row r="55" spans="1:18" ht="12">
      <c r="A55" s="15" t="s">
        <v>51</v>
      </c>
      <c r="C55" s="23">
        <v>5863598</v>
      </c>
      <c r="D55" s="23"/>
      <c r="E55" s="23">
        <v>0</v>
      </c>
      <c r="F55" s="23"/>
      <c r="G55" s="23">
        <v>0</v>
      </c>
      <c r="H55" s="23"/>
      <c r="I55" s="23">
        <v>3229051</v>
      </c>
      <c r="J55" s="23"/>
      <c r="K55" s="23">
        <v>19277265</v>
      </c>
      <c r="L55" s="23"/>
      <c r="M55" s="23">
        <v>111798</v>
      </c>
      <c r="N55" s="23"/>
      <c r="O55" s="23">
        <f>3119801-6765</f>
        <v>3113036</v>
      </c>
      <c r="P55" s="23"/>
      <c r="Q55" s="16">
        <f t="shared" si="0"/>
        <v>31594748</v>
      </c>
      <c r="R55" s="15"/>
    </row>
    <row r="56" spans="1:17" ht="12">
      <c r="A56" s="15" t="s">
        <v>52</v>
      </c>
      <c r="C56" s="23">
        <v>43018487</v>
      </c>
      <c r="D56" s="23"/>
      <c r="E56" s="23">
        <v>20506375</v>
      </c>
      <c r="F56" s="23"/>
      <c r="G56" s="23">
        <v>0</v>
      </c>
      <c r="H56" s="23"/>
      <c r="I56" s="23">
        <v>9181257</v>
      </c>
      <c r="J56" s="23"/>
      <c r="K56" s="23">
        <v>98277786</v>
      </c>
      <c r="L56" s="23"/>
      <c r="M56" s="23">
        <v>357734</v>
      </c>
      <c r="N56" s="23"/>
      <c r="O56" s="23">
        <f>13029571+2160169+545716+51688+4237027+2460205</f>
        <v>22484376</v>
      </c>
      <c r="P56" s="23"/>
      <c r="Q56" s="16">
        <v>193228611</v>
      </c>
    </row>
    <row r="57" spans="1:17" ht="12">
      <c r="A57" s="15" t="s">
        <v>196</v>
      </c>
      <c r="C57" s="23">
        <v>175855000</v>
      </c>
      <c r="D57" s="23"/>
      <c r="E57" s="10">
        <v>0</v>
      </c>
      <c r="F57" s="10"/>
      <c r="G57" s="10">
        <v>0</v>
      </c>
      <c r="H57" s="10"/>
      <c r="I57" s="23">
        <v>24727000</v>
      </c>
      <c r="J57" s="23"/>
      <c r="K57" s="23">
        <v>178345000</v>
      </c>
      <c r="L57" s="23"/>
      <c r="M57" s="23">
        <v>2303000</v>
      </c>
      <c r="N57" s="23"/>
      <c r="O57" s="23">
        <f>(37+601+9192-871+38431)*1000</f>
        <v>47390000</v>
      </c>
      <c r="P57" s="23"/>
      <c r="Q57" s="16">
        <f t="shared" si="0"/>
        <v>428620000</v>
      </c>
    </row>
    <row r="58" spans="1:17" ht="12" hidden="1">
      <c r="A58" s="15" t="s">
        <v>53</v>
      </c>
      <c r="C58" s="10"/>
      <c r="D58" s="10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6"/>
    </row>
    <row r="59" spans="1:18" ht="12">
      <c r="A59" s="15" t="s">
        <v>54</v>
      </c>
      <c r="C59" s="23">
        <v>40091456</v>
      </c>
      <c r="D59" s="23"/>
      <c r="E59" s="23">
        <v>25819560</v>
      </c>
      <c r="F59" s="23"/>
      <c r="G59" s="23">
        <v>0</v>
      </c>
      <c r="H59" s="23"/>
      <c r="I59" s="23">
        <v>16801132</v>
      </c>
      <c r="J59" s="23"/>
      <c r="K59" s="23">
        <v>91317048</v>
      </c>
      <c r="L59" s="23"/>
      <c r="M59" s="23">
        <v>299571</v>
      </c>
      <c r="N59" s="23"/>
      <c r="O59" s="23">
        <v>8516476</v>
      </c>
      <c r="P59" s="23"/>
      <c r="Q59" s="16">
        <f t="shared" si="0"/>
        <v>182845243</v>
      </c>
      <c r="R59" s="15"/>
    </row>
    <row r="60" spans="1:18" ht="12">
      <c r="A60" s="15" t="s">
        <v>55</v>
      </c>
      <c r="C60" s="23">
        <v>7548234</v>
      </c>
      <c r="D60" s="23"/>
      <c r="E60" s="23">
        <v>6251522</v>
      </c>
      <c r="F60" s="23"/>
      <c r="G60" s="23">
        <v>0</v>
      </c>
      <c r="H60" s="23"/>
      <c r="I60" s="23">
        <v>4239632</v>
      </c>
      <c r="J60" s="23"/>
      <c r="K60" s="23">
        <v>21199797</v>
      </c>
      <c r="L60" s="23"/>
      <c r="M60" s="23">
        <v>76802</v>
      </c>
      <c r="N60" s="23"/>
      <c r="O60" s="23">
        <f>42312530-51652-39315987</f>
        <v>2944891</v>
      </c>
      <c r="P60" s="23"/>
      <c r="Q60" s="16">
        <f t="shared" si="0"/>
        <v>42260878</v>
      </c>
      <c r="R60" s="15"/>
    </row>
    <row r="61" spans="1:18" ht="12">
      <c r="A61" s="15" t="s">
        <v>56</v>
      </c>
      <c r="C61" s="23">
        <f>21305683</f>
        <v>21305683</v>
      </c>
      <c r="D61" s="23"/>
      <c r="E61" s="23">
        <v>8137853</v>
      </c>
      <c r="F61" s="23"/>
      <c r="G61" s="23">
        <v>0</v>
      </c>
      <c r="H61" s="23"/>
      <c r="I61" s="23">
        <v>14995533</v>
      </c>
      <c r="J61" s="23"/>
      <c r="K61" s="23">
        <v>36475060</v>
      </c>
      <c r="L61" s="23"/>
      <c r="M61" s="23">
        <v>747186</v>
      </c>
      <c r="N61" s="23"/>
      <c r="O61" s="23">
        <v>5451327</v>
      </c>
      <c r="P61" s="23"/>
      <c r="Q61" s="16">
        <f t="shared" si="0"/>
        <v>87112642</v>
      </c>
      <c r="R61" s="15"/>
    </row>
    <row r="62" spans="1:17" ht="12" hidden="1">
      <c r="A62" s="15" t="s">
        <v>173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6"/>
    </row>
    <row r="63" spans="1:17" ht="12" hidden="1">
      <c r="A63" s="15" t="s">
        <v>57</v>
      </c>
      <c r="C63" s="10"/>
      <c r="D63" s="10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6"/>
    </row>
    <row r="64" spans="1:17" ht="12">
      <c r="A64" s="15" t="s">
        <v>58</v>
      </c>
      <c r="C64" s="23">
        <v>20027419</v>
      </c>
      <c r="D64" s="23"/>
      <c r="E64" s="23">
        <v>0</v>
      </c>
      <c r="F64" s="23"/>
      <c r="G64" s="23">
        <v>0</v>
      </c>
      <c r="H64" s="23"/>
      <c r="I64" s="23">
        <v>0</v>
      </c>
      <c r="J64" s="23"/>
      <c r="K64" s="23">
        <v>21970913</v>
      </c>
      <c r="L64" s="23"/>
      <c r="M64" s="23">
        <f>76870</f>
        <v>76870</v>
      </c>
      <c r="N64" s="23"/>
      <c r="O64" s="23">
        <f>57481438-42075202-1342-68697</f>
        <v>15336197</v>
      </c>
      <c r="P64" s="23"/>
      <c r="Q64" s="16">
        <f t="shared" si="0"/>
        <v>57411399</v>
      </c>
    </row>
    <row r="65" spans="1:17" ht="12" hidden="1">
      <c r="A65" s="15" t="s">
        <v>59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">
        <f t="shared" si="0"/>
        <v>0</v>
      </c>
    </row>
    <row r="66" spans="1:17" ht="12">
      <c r="A66" s="15" t="s">
        <v>60</v>
      </c>
      <c r="C66" s="23">
        <v>89821906</v>
      </c>
      <c r="D66" s="23"/>
      <c r="E66" s="23">
        <v>62952069</v>
      </c>
      <c r="F66" s="23"/>
      <c r="G66" s="23">
        <v>8211846</v>
      </c>
      <c r="H66" s="23"/>
      <c r="I66" s="23">
        <v>43360367</v>
      </c>
      <c r="J66" s="23"/>
      <c r="K66" s="23">
        <v>215392727</v>
      </c>
      <c r="L66" s="23"/>
      <c r="M66" s="23">
        <v>292867</v>
      </c>
      <c r="N66" s="23"/>
      <c r="O66" s="23">
        <f>2723190+1421710+17871875+30827900</f>
        <v>52844675</v>
      </c>
      <c r="P66" s="23"/>
      <c r="Q66" s="16">
        <f t="shared" si="0"/>
        <v>472876457</v>
      </c>
    </row>
    <row r="67" spans="1:18" ht="12" hidden="1">
      <c r="A67" s="15" t="s">
        <v>61</v>
      </c>
      <c r="C67" s="10"/>
      <c r="D67" s="10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6"/>
      <c r="R67" s="15"/>
    </row>
    <row r="68" spans="1:17" ht="12">
      <c r="A68" s="15" t="s">
        <v>100</v>
      </c>
      <c r="C68" s="23">
        <v>3620439</v>
      </c>
      <c r="D68" s="23"/>
      <c r="E68" s="23">
        <v>2377703</v>
      </c>
      <c r="F68" s="23"/>
      <c r="G68" s="23">
        <v>0</v>
      </c>
      <c r="H68" s="23"/>
      <c r="I68" s="23">
        <v>2707924</v>
      </c>
      <c r="J68" s="23"/>
      <c r="K68" s="23">
        <v>11844572</v>
      </c>
      <c r="L68" s="23"/>
      <c r="M68" s="23">
        <v>138299</v>
      </c>
      <c r="N68" s="23"/>
      <c r="O68" s="23">
        <f>75085+347738+297088+265391+967782-73113</f>
        <v>1879971</v>
      </c>
      <c r="P68" s="23"/>
      <c r="Q68" s="16">
        <f t="shared" si="0"/>
        <v>22568908</v>
      </c>
    </row>
    <row r="69" spans="1:17" ht="12">
      <c r="A69" s="15" t="s">
        <v>63</v>
      </c>
      <c r="C69" s="23">
        <v>11172659</v>
      </c>
      <c r="D69" s="23"/>
      <c r="E69" s="23">
        <f>13592599+360421</f>
        <v>13953020</v>
      </c>
      <c r="F69" s="23"/>
      <c r="G69" s="23">
        <v>0</v>
      </c>
      <c r="H69" s="23"/>
      <c r="I69" s="23">
        <v>6985268</v>
      </c>
      <c r="J69" s="23"/>
      <c r="K69" s="23">
        <v>34955974</v>
      </c>
      <c r="L69" s="23"/>
      <c r="M69" s="23">
        <f>152200</f>
        <v>152200</v>
      </c>
      <c r="N69" s="23"/>
      <c r="O69" s="23">
        <f>472190+766609+1502496+598970+564803-2374</f>
        <v>3902694</v>
      </c>
      <c r="P69" s="23"/>
      <c r="Q69" s="16">
        <f>SUM(C69:O69)</f>
        <v>71121815</v>
      </c>
    </row>
    <row r="70" spans="1:17" ht="12">
      <c r="A70" s="15" t="s">
        <v>64</v>
      </c>
      <c r="C70" s="23">
        <v>1526202</v>
      </c>
      <c r="D70" s="23"/>
      <c r="E70" s="23">
        <v>881894</v>
      </c>
      <c r="F70" s="23"/>
      <c r="G70" s="23">
        <v>0</v>
      </c>
      <c r="H70" s="23"/>
      <c r="I70" s="23">
        <v>1155931</v>
      </c>
      <c r="J70" s="23"/>
      <c r="K70" s="23">
        <v>6764667</v>
      </c>
      <c r="L70" s="23"/>
      <c r="M70" s="23">
        <v>0</v>
      </c>
      <c r="N70" s="23"/>
      <c r="O70" s="23">
        <f>178760+987+69172+10195+687752</f>
        <v>946866</v>
      </c>
      <c r="P70" s="23"/>
      <c r="Q70" s="16">
        <f>SUM(C70:O70)</f>
        <v>11275560</v>
      </c>
    </row>
    <row r="71" spans="3:17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6" t="s">
        <v>246</v>
      </c>
    </row>
    <row r="72" spans="1:17" ht="12">
      <c r="A72" s="13" t="s">
        <v>261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6"/>
    </row>
    <row r="73" spans="1:17" ht="12">
      <c r="A73" s="13" t="s">
        <v>262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6"/>
    </row>
    <row r="74" spans="3:17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6"/>
    </row>
    <row r="75" spans="3:17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6"/>
    </row>
    <row r="76" spans="1:17" s="112" customFormat="1" ht="12">
      <c r="A76" s="115" t="s">
        <v>65</v>
      </c>
      <c r="C76" s="113">
        <v>5439064</v>
      </c>
      <c r="D76" s="113"/>
      <c r="E76" s="114">
        <v>4207047</v>
      </c>
      <c r="F76" s="114"/>
      <c r="G76" s="114">
        <v>409465</v>
      </c>
      <c r="H76" s="114"/>
      <c r="I76" s="114">
        <v>5302413</v>
      </c>
      <c r="J76" s="114"/>
      <c r="K76" s="114">
        <v>12183300</v>
      </c>
      <c r="L76" s="114"/>
      <c r="M76" s="114">
        <v>2341537</v>
      </c>
      <c r="N76" s="114"/>
      <c r="O76" s="114">
        <f>1303297+607277+603172+173695</f>
        <v>2687441</v>
      </c>
      <c r="P76" s="114"/>
      <c r="Q76" s="112">
        <f t="shared" si="0"/>
        <v>32570267</v>
      </c>
    </row>
    <row r="77" spans="1:17" ht="12" hidden="1">
      <c r="A77" s="116" t="s">
        <v>134</v>
      </c>
      <c r="C77" s="10"/>
      <c r="D77" s="10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6"/>
    </row>
    <row r="78" spans="1:17" ht="12" hidden="1">
      <c r="A78" s="116" t="s">
        <v>66</v>
      </c>
      <c r="C78" s="10"/>
      <c r="D78" s="10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6"/>
    </row>
    <row r="79" spans="1:17" ht="12">
      <c r="A79" s="116" t="s">
        <v>67</v>
      </c>
      <c r="C79" s="23">
        <v>4605470</v>
      </c>
      <c r="D79" s="23"/>
      <c r="E79" s="23">
        <v>5229953</v>
      </c>
      <c r="F79" s="23"/>
      <c r="G79" s="23">
        <v>0</v>
      </c>
      <c r="H79" s="23"/>
      <c r="I79" s="23">
        <v>2332790</v>
      </c>
      <c r="J79" s="23"/>
      <c r="K79" s="23">
        <v>14321391</v>
      </c>
      <c r="L79" s="23"/>
      <c r="M79" s="23">
        <v>24212</v>
      </c>
      <c r="N79" s="23"/>
      <c r="O79" s="23">
        <f>4545+204120+493462+4411154</f>
        <v>5113281</v>
      </c>
      <c r="P79" s="23"/>
      <c r="Q79" s="16">
        <f t="shared" si="0"/>
        <v>31627097</v>
      </c>
    </row>
    <row r="80" spans="1:17" ht="12">
      <c r="A80" s="116" t="s">
        <v>68</v>
      </c>
      <c r="C80" s="23">
        <f>6338946</f>
        <v>6338946</v>
      </c>
      <c r="D80" s="23"/>
      <c r="E80" s="10">
        <v>0</v>
      </c>
      <c r="F80" s="10"/>
      <c r="G80" s="10">
        <v>0</v>
      </c>
      <c r="H80" s="10"/>
      <c r="I80" s="23">
        <v>1885178</v>
      </c>
      <c r="J80" s="23"/>
      <c r="K80" s="23">
        <v>13294206</v>
      </c>
      <c r="L80" s="23"/>
      <c r="M80" s="23">
        <v>0</v>
      </c>
      <c r="N80" s="23"/>
      <c r="O80" s="23">
        <f>13419+87316+323689-99+2013837</f>
        <v>2438162</v>
      </c>
      <c r="P80" s="23"/>
      <c r="Q80" s="16">
        <f t="shared" si="0"/>
        <v>23956492</v>
      </c>
    </row>
    <row r="81" spans="1:17" s="109" customFormat="1" ht="12">
      <c r="A81" s="111" t="s">
        <v>69</v>
      </c>
      <c r="C81" s="110">
        <v>21935872</v>
      </c>
      <c r="D81" s="110"/>
      <c r="E81" s="110">
        <v>12629467</v>
      </c>
      <c r="F81" s="110"/>
      <c r="G81" s="110">
        <v>0</v>
      </c>
      <c r="H81" s="110"/>
      <c r="I81" s="110">
        <v>10258142</v>
      </c>
      <c r="J81" s="110"/>
      <c r="K81" s="110">
        <v>41878775</v>
      </c>
      <c r="L81" s="110"/>
      <c r="M81" s="110">
        <v>219122</v>
      </c>
      <c r="N81" s="110"/>
      <c r="O81" s="110">
        <f>2805181+269037+1783792+589916+17263+700335</f>
        <v>6165524</v>
      </c>
      <c r="P81" s="110"/>
      <c r="Q81" s="109">
        <f t="shared" si="0"/>
        <v>93086902</v>
      </c>
    </row>
    <row r="82" spans="1:17" s="109" customFormat="1" ht="12">
      <c r="A82" s="111" t="s">
        <v>70</v>
      </c>
      <c r="C82" s="110">
        <v>3237536</v>
      </c>
      <c r="D82" s="110"/>
      <c r="E82" s="110">
        <v>3788125</v>
      </c>
      <c r="F82" s="110"/>
      <c r="G82" s="110">
        <v>0</v>
      </c>
      <c r="H82" s="110"/>
      <c r="I82" s="110">
        <v>3780550</v>
      </c>
      <c r="J82" s="110"/>
      <c r="K82" s="110">
        <v>15265855</v>
      </c>
      <c r="L82" s="110"/>
      <c r="M82" s="110">
        <v>85247</v>
      </c>
      <c r="N82" s="110"/>
      <c r="O82" s="110">
        <f>61194+133891+362564+311943-7261</f>
        <v>862331</v>
      </c>
      <c r="P82" s="110"/>
      <c r="Q82" s="109">
        <f aca="true" t="shared" si="1" ref="Q82:Q99">SUM(C82:O82)</f>
        <v>27019644</v>
      </c>
    </row>
    <row r="83" spans="1:17" ht="12" hidden="1">
      <c r="A83" s="15" t="s">
        <v>186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6"/>
    </row>
    <row r="84" spans="1:17" ht="12">
      <c r="A84" s="15" t="s">
        <v>191</v>
      </c>
      <c r="C84" s="23">
        <v>12581309</v>
      </c>
      <c r="D84" s="23"/>
      <c r="E84" s="23">
        <v>15108839</v>
      </c>
      <c r="F84" s="23"/>
      <c r="G84" s="23">
        <v>0</v>
      </c>
      <c r="H84" s="23"/>
      <c r="I84" s="23">
        <v>9140245</v>
      </c>
      <c r="J84" s="23"/>
      <c r="K84" s="23">
        <v>52953248</v>
      </c>
      <c r="L84" s="23"/>
      <c r="M84" s="23">
        <v>1173055</v>
      </c>
      <c r="N84" s="23"/>
      <c r="O84" s="23">
        <f>554545+170088+2268423+639697+18727+2059161</f>
        <v>5710641</v>
      </c>
      <c r="P84" s="23"/>
      <c r="Q84" s="16">
        <f t="shared" si="1"/>
        <v>96667337</v>
      </c>
    </row>
    <row r="85" spans="1:17" ht="12">
      <c r="A85" s="15" t="s">
        <v>71</v>
      </c>
      <c r="C85" s="23">
        <f>5678750</f>
        <v>5678750</v>
      </c>
      <c r="D85" s="23"/>
      <c r="E85" s="10">
        <v>10250454</v>
      </c>
      <c r="F85" s="10"/>
      <c r="G85" s="10">
        <v>0</v>
      </c>
      <c r="H85" s="10"/>
      <c r="I85" s="23">
        <v>4163821</v>
      </c>
      <c r="J85" s="23"/>
      <c r="K85" s="23">
        <v>22764752</v>
      </c>
      <c r="L85" s="23"/>
      <c r="M85" s="16">
        <v>6143</v>
      </c>
      <c r="N85" s="16"/>
      <c r="O85" s="23">
        <f>330749+7676+148823+3104296</f>
        <v>3591544</v>
      </c>
      <c r="P85" s="23"/>
      <c r="Q85" s="16">
        <f>SUM(C85:O85)</f>
        <v>46455464</v>
      </c>
    </row>
    <row r="86" spans="1:17" ht="12">
      <c r="A86" s="15" t="s">
        <v>101</v>
      </c>
      <c r="C86" s="23">
        <v>6163530</v>
      </c>
      <c r="D86" s="23"/>
      <c r="E86" s="23">
        <v>5931246</v>
      </c>
      <c r="F86" s="23"/>
      <c r="G86" s="23">
        <v>0</v>
      </c>
      <c r="H86" s="23"/>
      <c r="I86" s="23">
        <v>4073100</v>
      </c>
      <c r="J86" s="23"/>
      <c r="K86" s="23">
        <v>20892760</v>
      </c>
      <c r="L86" s="23"/>
      <c r="M86" s="23">
        <v>131928</v>
      </c>
      <c r="N86" s="23"/>
      <c r="O86" s="23">
        <f>5800+619183+760131+9000+4284232</f>
        <v>5678346</v>
      </c>
      <c r="P86" s="23"/>
      <c r="Q86" s="16">
        <f t="shared" si="1"/>
        <v>42870910</v>
      </c>
    </row>
    <row r="87" spans="1:17" ht="12">
      <c r="A87" s="15" t="s">
        <v>73</v>
      </c>
      <c r="C87" s="23">
        <v>4166892</v>
      </c>
      <c r="D87" s="23"/>
      <c r="E87" s="23">
        <v>8233430</v>
      </c>
      <c r="F87" s="23"/>
      <c r="G87" s="23">
        <v>0</v>
      </c>
      <c r="H87" s="23"/>
      <c r="I87" s="23">
        <v>4383347</v>
      </c>
      <c r="J87" s="23"/>
      <c r="K87" s="23">
        <v>28424725</v>
      </c>
      <c r="L87" s="23"/>
      <c r="M87" s="23">
        <v>0</v>
      </c>
      <c r="N87" s="23"/>
      <c r="O87" s="23">
        <f>3219863+809620+262822+1046487</f>
        <v>5338792</v>
      </c>
      <c r="P87" s="23"/>
      <c r="Q87" s="16">
        <f t="shared" si="1"/>
        <v>50547186</v>
      </c>
    </row>
    <row r="88" spans="1:17" ht="12">
      <c r="A88" s="15" t="s">
        <v>74</v>
      </c>
      <c r="C88" s="23">
        <v>1967008</v>
      </c>
      <c r="D88" s="23"/>
      <c r="E88" s="23">
        <v>4866551</v>
      </c>
      <c r="F88" s="23"/>
      <c r="G88" s="23">
        <v>0</v>
      </c>
      <c r="H88" s="23"/>
      <c r="I88" s="23">
        <v>3625451</v>
      </c>
      <c r="J88" s="23"/>
      <c r="K88" s="23">
        <v>13443201</v>
      </c>
      <c r="L88" s="23"/>
      <c r="M88" s="23">
        <v>162668</v>
      </c>
      <c r="N88" s="23"/>
      <c r="O88" s="23">
        <f>4695+224514+411769-56442+304559+84522+909008-44845</f>
        <v>1837780</v>
      </c>
      <c r="P88" s="23"/>
      <c r="Q88" s="16">
        <f t="shared" si="1"/>
        <v>25902659</v>
      </c>
    </row>
    <row r="89" spans="1:17" ht="12">
      <c r="A89" s="15" t="s">
        <v>75</v>
      </c>
      <c r="C89" s="23">
        <v>4434327</v>
      </c>
      <c r="D89" s="23"/>
      <c r="E89" s="23">
        <v>6947722</v>
      </c>
      <c r="F89" s="23"/>
      <c r="G89" s="23">
        <v>0</v>
      </c>
      <c r="H89" s="23"/>
      <c r="I89" s="23">
        <v>3703628</v>
      </c>
      <c r="J89" s="23"/>
      <c r="K89" s="23">
        <v>12662870</v>
      </c>
      <c r="L89" s="23"/>
      <c r="M89" s="23">
        <v>265812</v>
      </c>
      <c r="N89" s="23"/>
      <c r="O89" s="23">
        <f>108737+260545+481631-37461+47684+1073312-19435</f>
        <v>1915013</v>
      </c>
      <c r="P89" s="23"/>
      <c r="Q89" s="16">
        <f>SUM(C89:O89)</f>
        <v>29929372</v>
      </c>
    </row>
    <row r="90" spans="1:17" ht="12">
      <c r="A90" s="15" t="s">
        <v>76</v>
      </c>
      <c r="C90" s="15">
        <v>41742588</v>
      </c>
      <c r="E90" s="23">
        <v>1438992</v>
      </c>
      <c r="F90" s="23"/>
      <c r="G90" s="23">
        <v>0</v>
      </c>
      <c r="H90" s="23"/>
      <c r="I90" s="23">
        <v>22174314</v>
      </c>
      <c r="J90" s="23"/>
      <c r="K90" s="23">
        <v>128945114</v>
      </c>
      <c r="L90" s="23"/>
      <c r="M90" s="23">
        <v>501310</v>
      </c>
      <c r="N90" s="23"/>
      <c r="O90" s="23">
        <f>66110+644595+3921068+438672+4264506</f>
        <v>9334951</v>
      </c>
      <c r="P90" s="23"/>
      <c r="Q90" s="16">
        <f t="shared" si="1"/>
        <v>204137269</v>
      </c>
    </row>
    <row r="91" spans="1:17" ht="12">
      <c r="A91" s="15" t="s">
        <v>77</v>
      </c>
      <c r="C91" s="23">
        <v>108785682</v>
      </c>
      <c r="D91" s="23"/>
      <c r="E91" s="23">
        <v>33081046</v>
      </c>
      <c r="F91" s="23"/>
      <c r="G91" s="23">
        <v>11484956</v>
      </c>
      <c r="H91" s="23"/>
      <c r="I91" s="23">
        <v>39018097</v>
      </c>
      <c r="J91" s="23"/>
      <c r="K91" s="23">
        <v>173122076</v>
      </c>
      <c r="L91" s="23"/>
      <c r="M91" s="23">
        <v>198668</v>
      </c>
      <c r="N91" s="23"/>
      <c r="O91" s="23">
        <f>423340+1316592+9947834+10902411</f>
        <v>22590177</v>
      </c>
      <c r="P91" s="23"/>
      <c r="Q91" s="16">
        <f t="shared" si="1"/>
        <v>388280702</v>
      </c>
    </row>
    <row r="92" spans="1:17" ht="12">
      <c r="A92" s="15" t="s">
        <v>78</v>
      </c>
      <c r="C92" s="23">
        <v>25505365</v>
      </c>
      <c r="D92" s="23"/>
      <c r="E92" s="23">
        <v>9641585</v>
      </c>
      <c r="F92" s="23"/>
      <c r="G92" s="23">
        <v>0</v>
      </c>
      <c r="H92" s="23"/>
      <c r="I92" s="23">
        <v>7090267</v>
      </c>
      <c r="J92" s="23"/>
      <c r="K92" s="23">
        <v>83906792</v>
      </c>
      <c r="L92" s="23"/>
      <c r="M92" s="23">
        <v>776450</v>
      </c>
      <c r="N92" s="23"/>
      <c r="O92" s="23">
        <f>2421361+5292837+2253703+335306+22742+164474</f>
        <v>10490423</v>
      </c>
      <c r="P92" s="23"/>
      <c r="Q92" s="16">
        <f t="shared" si="1"/>
        <v>137410882</v>
      </c>
    </row>
    <row r="93" spans="1:17" ht="12">
      <c r="A93" s="15" t="s">
        <v>79</v>
      </c>
      <c r="C93" s="23">
        <v>9157523</v>
      </c>
      <c r="D93" s="23"/>
      <c r="E93" s="23">
        <v>9027152</v>
      </c>
      <c r="F93" s="23"/>
      <c r="G93" s="23">
        <v>0</v>
      </c>
      <c r="H93" s="23"/>
      <c r="I93" s="23">
        <v>5411437</v>
      </c>
      <c r="J93" s="23"/>
      <c r="K93" s="23">
        <v>21129273</v>
      </c>
      <c r="L93" s="23"/>
      <c r="M93" s="23">
        <v>0</v>
      </c>
      <c r="N93" s="23"/>
      <c r="O93" s="23">
        <f>1530361+12001+409916+126174+62948+666312</f>
        <v>2807712</v>
      </c>
      <c r="P93" s="23"/>
      <c r="Q93" s="16">
        <f t="shared" si="1"/>
        <v>47533097</v>
      </c>
    </row>
    <row r="94" spans="1:17" ht="12">
      <c r="A94" s="15" t="s">
        <v>80</v>
      </c>
      <c r="C94" s="16">
        <f>15195699</f>
        <v>15195699</v>
      </c>
      <c r="D94" s="16"/>
      <c r="E94" s="16">
        <v>0</v>
      </c>
      <c r="F94" s="16"/>
      <c r="G94" s="16">
        <v>0</v>
      </c>
      <c r="H94" s="16"/>
      <c r="I94" s="16">
        <v>3171347</v>
      </c>
      <c r="J94" s="16"/>
      <c r="K94" s="16">
        <v>13708310</v>
      </c>
      <c r="L94" s="16"/>
      <c r="M94" s="16">
        <v>41677</v>
      </c>
      <c r="N94" s="16"/>
      <c r="O94" s="16">
        <f>208712+190320+836629+1965720</f>
        <v>3201381</v>
      </c>
      <c r="P94" s="16"/>
      <c r="Q94" s="16">
        <f t="shared" si="1"/>
        <v>35318414</v>
      </c>
    </row>
    <row r="95" spans="1:17" ht="12">
      <c r="A95" s="15" t="s">
        <v>81</v>
      </c>
      <c r="C95" s="15">
        <f>2823820</f>
        <v>2823820</v>
      </c>
      <c r="E95" s="15">
        <v>3289525</v>
      </c>
      <c r="G95" s="15">
        <v>0</v>
      </c>
      <c r="I95" s="15">
        <v>2609834</v>
      </c>
      <c r="K95" s="15">
        <v>11737158</v>
      </c>
      <c r="M95" s="15">
        <v>488146</v>
      </c>
      <c r="O95" s="15">
        <f>81144+269834+527809+1817210</f>
        <v>2695997</v>
      </c>
      <c r="Q95" s="16">
        <f>SUM(C95:O95)</f>
        <v>23644480</v>
      </c>
    </row>
    <row r="96" spans="1:17" ht="12">
      <c r="A96" s="15" t="s">
        <v>82</v>
      </c>
      <c r="C96" s="23">
        <v>1927830</v>
      </c>
      <c r="D96" s="23"/>
      <c r="E96" s="10">
        <v>0</v>
      </c>
      <c r="F96" s="10"/>
      <c r="G96" s="10">
        <v>0</v>
      </c>
      <c r="H96" s="10"/>
      <c r="I96" s="16">
        <v>757009</v>
      </c>
      <c r="J96" s="16"/>
      <c r="K96" s="23">
        <v>8310620</v>
      </c>
      <c r="L96" s="23"/>
      <c r="M96" s="23">
        <v>0</v>
      </c>
      <c r="N96" s="23"/>
      <c r="O96" s="23">
        <f>2633+126194+149262+2481959</f>
        <v>2760048</v>
      </c>
      <c r="P96" s="23"/>
      <c r="Q96" s="16">
        <f>SUM(C96:O96)</f>
        <v>13755507</v>
      </c>
    </row>
    <row r="97" spans="1:18" ht="12">
      <c r="A97" s="15" t="s">
        <v>83</v>
      </c>
      <c r="C97" s="23">
        <v>33918134</v>
      </c>
      <c r="D97" s="23"/>
      <c r="E97" s="23">
        <v>0</v>
      </c>
      <c r="F97" s="23"/>
      <c r="G97" s="23">
        <v>0</v>
      </c>
      <c r="H97" s="23"/>
      <c r="I97" s="23">
        <v>9757839</v>
      </c>
      <c r="J97" s="23"/>
      <c r="K97" s="23">
        <v>30449878</v>
      </c>
      <c r="L97" s="23"/>
      <c r="M97" s="23">
        <v>1570886</v>
      </c>
      <c r="N97" s="23"/>
      <c r="O97" s="23">
        <f>1864176-146212+740875+17718+3762732</f>
        <v>6239289</v>
      </c>
      <c r="P97" s="23"/>
      <c r="Q97" s="16">
        <f t="shared" si="1"/>
        <v>81936026</v>
      </c>
      <c r="R97" s="15"/>
    </row>
    <row r="98" spans="1:18" ht="12">
      <c r="A98" s="15" t="s">
        <v>84</v>
      </c>
      <c r="C98" s="23">
        <v>7792694</v>
      </c>
      <c r="D98" s="23"/>
      <c r="E98" s="23">
        <v>8560463</v>
      </c>
      <c r="F98" s="23"/>
      <c r="G98" s="23">
        <v>0</v>
      </c>
      <c r="H98" s="23"/>
      <c r="I98" s="23">
        <v>3498702</v>
      </c>
      <c r="J98" s="23"/>
      <c r="K98" s="23">
        <v>28924340</v>
      </c>
      <c r="L98" s="23"/>
      <c r="M98" s="23">
        <v>0</v>
      </c>
      <c r="N98" s="23"/>
      <c r="O98" s="23">
        <f>829492+842077+1418335+135279+694703</f>
        <v>3919886</v>
      </c>
      <c r="P98" s="23"/>
      <c r="Q98" s="16">
        <f t="shared" si="1"/>
        <v>52696085</v>
      </c>
      <c r="R98" s="15"/>
    </row>
    <row r="99" spans="1:17" ht="12">
      <c r="A99" s="15" t="s">
        <v>85</v>
      </c>
      <c r="C99" s="23">
        <v>11928170</v>
      </c>
      <c r="D99" s="23"/>
      <c r="E99" s="23">
        <v>8801393</v>
      </c>
      <c r="F99" s="23"/>
      <c r="G99" s="23">
        <v>0</v>
      </c>
      <c r="H99" s="23"/>
      <c r="I99" s="23">
        <v>8417147</v>
      </c>
      <c r="J99" s="23"/>
      <c r="K99" s="23">
        <v>27262721</v>
      </c>
      <c r="L99" s="23"/>
      <c r="M99" s="23">
        <v>2136</v>
      </c>
      <c r="N99" s="23"/>
      <c r="O99" s="23">
        <f>279612+686079+1664117+225759+1769191</f>
        <v>4624758</v>
      </c>
      <c r="P99" s="23"/>
      <c r="Q99" s="16">
        <f t="shared" si="1"/>
        <v>61036325</v>
      </c>
    </row>
    <row r="100" spans="1:17" ht="12" hidden="1">
      <c r="A100" s="15" t="s">
        <v>184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16"/>
    </row>
    <row r="101" spans="1:17" ht="12">
      <c r="A101" s="15" t="s">
        <v>86</v>
      </c>
      <c r="C101" s="23">
        <v>22491640</v>
      </c>
      <c r="D101" s="23"/>
      <c r="E101" s="23">
        <v>13105218</v>
      </c>
      <c r="F101" s="23"/>
      <c r="G101" s="23">
        <f>3735241+196831</f>
        <v>3932072</v>
      </c>
      <c r="H101" s="23"/>
      <c r="I101" s="16">
        <v>10174430</v>
      </c>
      <c r="J101" s="16"/>
      <c r="K101" s="23">
        <v>36598481</v>
      </c>
      <c r="L101" s="23"/>
      <c r="M101" s="23">
        <v>947680</v>
      </c>
      <c r="N101" s="23"/>
      <c r="O101" s="23">
        <f>1014080+3730384+340593+175950</f>
        <v>5261007</v>
      </c>
      <c r="P101" s="23"/>
      <c r="Q101" s="16">
        <f>SUM(C101:O101)</f>
        <v>92510528</v>
      </c>
    </row>
    <row r="102" spans="1:17" ht="12" hidden="1">
      <c r="A102" s="15" t="s">
        <v>185</v>
      </c>
      <c r="C102" s="10"/>
      <c r="D102" s="10"/>
      <c r="E102" s="10"/>
      <c r="F102" s="10"/>
      <c r="G102" s="10"/>
      <c r="H102" s="10"/>
      <c r="I102" s="23"/>
      <c r="J102" s="23"/>
      <c r="K102" s="23"/>
      <c r="L102" s="23"/>
      <c r="M102" s="23"/>
      <c r="N102" s="23"/>
      <c r="O102" s="23"/>
      <c r="P102" s="23"/>
      <c r="Q102" s="16"/>
    </row>
    <row r="129" ht="12">
      <c r="A129" s="13" t="s">
        <v>261</v>
      </c>
    </row>
    <row r="130" ht="12">
      <c r="A130" s="13" t="s">
        <v>262</v>
      </c>
    </row>
  </sheetData>
  <printOptions/>
  <pageMargins left="1" right="1" top="0.5" bottom="0.5" header="0" footer="0.25"/>
  <pageSetup firstPageNumber="22" useFirstPageNumber="1" horizontalDpi="600" verticalDpi="600" orientation="portrait" pageOrder="overThenDown" r:id="rId1"/>
  <headerFooter alignWithMargins="0">
    <oddFooter>&amp;C&amp;"Times New Roman,Regular"&amp;11&amp;P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5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9.140625" style="15" customWidth="1"/>
    <col min="2" max="2" width="0.5625" style="15" customWidth="1"/>
    <col min="3" max="3" width="11.7109375" style="15" customWidth="1"/>
    <col min="4" max="4" width="1.7109375" style="15" customWidth="1"/>
    <col min="5" max="5" width="11.7109375" style="15" customWidth="1"/>
    <col min="6" max="6" width="1.7109375" style="15" customWidth="1"/>
    <col min="7" max="7" width="11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1.7109375" style="15" customWidth="1"/>
    <col min="12" max="12" width="1.7109375" style="15" customWidth="1"/>
    <col min="13" max="13" width="11.7109375" style="15" customWidth="1"/>
    <col min="14" max="14" width="1.7109375" style="15" customWidth="1"/>
    <col min="15" max="15" width="11.7109375" style="15" customWidth="1"/>
    <col min="16" max="16" width="1.7109375" style="15" customWidth="1"/>
    <col min="17" max="17" width="11.7109375" style="15" customWidth="1"/>
    <col min="18" max="18" width="1.7109375" style="15" customWidth="1"/>
    <col min="19" max="19" width="11.7109375" style="15" customWidth="1"/>
    <col min="20" max="20" width="1.7109375" style="15" customWidth="1"/>
    <col min="21" max="21" width="11.7109375" style="15" customWidth="1"/>
    <col min="22" max="22" width="1.7109375" style="15" customWidth="1"/>
    <col min="23" max="23" width="11.7109375" style="15" customWidth="1"/>
    <col min="24" max="24" width="1.7109375" style="15" customWidth="1"/>
    <col min="25" max="25" width="11.7109375" style="15" customWidth="1"/>
    <col min="26" max="26" width="1.7109375" style="15" customWidth="1"/>
    <col min="27" max="27" width="11.7109375" style="15" customWidth="1"/>
    <col min="28" max="28" width="1.7109375" style="15" customWidth="1"/>
    <col min="29" max="29" width="11.7109375" style="15" customWidth="1"/>
    <col min="30" max="30" width="2.7109375" style="15" customWidth="1"/>
    <col min="31" max="31" width="11.7109375" style="15" hidden="1" customWidth="1"/>
    <col min="32" max="32" width="11.7109375" style="2" hidden="1" customWidth="1"/>
    <col min="33" max="33" width="11.7109375" style="2" customWidth="1"/>
    <col min="34" max="34" width="9.140625" style="2" customWidth="1"/>
    <col min="35" max="35" width="11.7109375" style="2" customWidth="1"/>
    <col min="36" max="36" width="9.140625" style="2" customWidth="1"/>
    <col min="37" max="37" width="11.7109375" style="2" customWidth="1"/>
    <col min="38" max="38" width="9.140625" style="2" customWidth="1"/>
    <col min="39" max="39" width="11.7109375" style="2" customWidth="1"/>
    <col min="40" max="40" width="9.140625" style="2" customWidth="1"/>
    <col min="41" max="41" width="11.7109375" style="2" customWidth="1"/>
    <col min="42" max="42" width="9.140625" style="2" customWidth="1"/>
    <col min="43" max="43" width="11.7109375" style="2" customWidth="1"/>
    <col min="44" max="16384" width="9.140625" style="2" customWidth="1"/>
  </cols>
  <sheetData>
    <row r="1" spans="1:31" s="1" customFormat="1" ht="12">
      <c r="A1" s="121" t="s">
        <v>253</v>
      </c>
      <c r="B1" s="121"/>
      <c r="C1" s="121"/>
      <c r="D1" s="121"/>
      <c r="E1" s="121"/>
      <c r="F1" s="121"/>
      <c r="G1" s="121"/>
      <c r="H1" s="121"/>
      <c r="I1" s="121"/>
      <c r="J1" s="12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24"/>
    </row>
    <row r="2" spans="1:31" s="1" customFormat="1" ht="12">
      <c r="A2" s="17" t="s">
        <v>154</v>
      </c>
      <c r="B2" s="17"/>
      <c r="C2" s="17"/>
      <c r="D2" s="17"/>
      <c r="E2" s="17"/>
      <c r="F2" s="1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4"/>
    </row>
    <row r="3" spans="1:30" ht="12">
      <c r="A3" s="6" t="s">
        <v>197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5" spans="1:30" ht="12">
      <c r="A5" s="105" t="s">
        <v>246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1" ht="12">
      <c r="A6" s="13"/>
      <c r="B6" s="1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86" t="s">
        <v>3</v>
      </c>
    </row>
    <row r="7" spans="1:31" ht="12">
      <c r="A7" s="3"/>
      <c r="B7" s="3"/>
      <c r="C7" s="3" t="s">
        <v>198</v>
      </c>
      <c r="D7" s="3"/>
      <c r="E7" s="3"/>
      <c r="F7" s="3"/>
      <c r="G7" s="3" t="s">
        <v>87</v>
      </c>
      <c r="H7" s="3"/>
      <c r="I7" s="3" t="s">
        <v>87</v>
      </c>
      <c r="J7" s="3"/>
      <c r="K7" s="3"/>
      <c r="L7" s="3"/>
      <c r="M7" s="3" t="s">
        <v>88</v>
      </c>
      <c r="N7" s="3"/>
      <c r="O7" s="3" t="s">
        <v>161</v>
      </c>
      <c r="P7" s="3"/>
      <c r="Q7" s="3" t="s">
        <v>89</v>
      </c>
      <c r="R7" s="3"/>
      <c r="S7" s="3" t="s">
        <v>107</v>
      </c>
      <c r="T7" s="3"/>
      <c r="U7" s="3" t="s">
        <v>90</v>
      </c>
      <c r="V7" s="3"/>
      <c r="W7" s="3" t="s">
        <v>1</v>
      </c>
      <c r="X7" s="3"/>
      <c r="Y7" s="3"/>
      <c r="Z7" s="3"/>
      <c r="AA7" s="3" t="s">
        <v>102</v>
      </c>
      <c r="AB7" s="3"/>
      <c r="AD7" s="13"/>
      <c r="AE7" s="86" t="s">
        <v>103</v>
      </c>
    </row>
    <row r="8" spans="1:31" ht="12">
      <c r="A8" s="4" t="s">
        <v>4</v>
      </c>
      <c r="B8" s="13"/>
      <c r="C8" s="4" t="s">
        <v>199</v>
      </c>
      <c r="D8" s="13"/>
      <c r="E8" s="4" t="s">
        <v>91</v>
      </c>
      <c r="F8" s="13"/>
      <c r="G8" s="4" t="s">
        <v>92</v>
      </c>
      <c r="H8" s="13"/>
      <c r="I8" s="4" t="s">
        <v>93</v>
      </c>
      <c r="J8" s="13"/>
      <c r="K8" s="4" t="s">
        <v>94</v>
      </c>
      <c r="L8" s="13"/>
      <c r="M8" s="4" t="s">
        <v>7</v>
      </c>
      <c r="N8" s="13"/>
      <c r="O8" s="4" t="s">
        <v>162</v>
      </c>
      <c r="P8" s="13"/>
      <c r="Q8" s="4" t="s">
        <v>203</v>
      </c>
      <c r="R8" s="13"/>
      <c r="S8" s="4" t="s">
        <v>234</v>
      </c>
      <c r="T8" s="13"/>
      <c r="U8" s="4" t="s">
        <v>96</v>
      </c>
      <c r="V8" s="13"/>
      <c r="W8" s="4" t="s">
        <v>8</v>
      </c>
      <c r="X8" s="13"/>
      <c r="Y8" s="4" t="s">
        <v>97</v>
      </c>
      <c r="Z8" s="13"/>
      <c r="AA8" s="4" t="s">
        <v>98</v>
      </c>
      <c r="AB8" s="13"/>
      <c r="AC8" s="53" t="s">
        <v>3</v>
      </c>
      <c r="AD8" s="13"/>
      <c r="AE8" s="87" t="s">
        <v>95</v>
      </c>
    </row>
    <row r="9" spans="1:31" ht="12" hidden="1">
      <c r="A9" s="15" t="s">
        <v>12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2"/>
      <c r="AD9" s="22"/>
      <c r="AE9" s="23"/>
    </row>
    <row r="10" spans="3:31" ht="12"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/>
      <c r="AD10" s="22"/>
      <c r="AE10" s="23"/>
    </row>
    <row r="11" spans="1:31" ht="12">
      <c r="A11" s="15" t="s">
        <v>13</v>
      </c>
      <c r="C11" s="64">
        <f>10609988-108874</f>
        <v>10501114</v>
      </c>
      <c r="D11" s="64"/>
      <c r="E11" s="64">
        <v>8598700</v>
      </c>
      <c r="F11" s="64"/>
      <c r="G11" s="64">
        <v>8895391</v>
      </c>
      <c r="H11" s="64"/>
      <c r="I11" s="64">
        <v>6718334</v>
      </c>
      <c r="J11" s="64"/>
      <c r="K11" s="64">
        <v>11070298</v>
      </c>
      <c r="L11" s="64"/>
      <c r="M11" s="64">
        <v>15244429</v>
      </c>
      <c r="N11" s="64"/>
      <c r="O11" s="64">
        <v>0</v>
      </c>
      <c r="P11" s="64"/>
      <c r="Q11" s="64">
        <v>1486278</v>
      </c>
      <c r="R11" s="64"/>
      <c r="S11" s="64">
        <v>0</v>
      </c>
      <c r="T11" s="64"/>
      <c r="U11" s="64">
        <v>3144015</v>
      </c>
      <c r="V11" s="64"/>
      <c r="W11" s="64">
        <v>75000</v>
      </c>
      <c r="X11" s="64"/>
      <c r="Y11" s="64">
        <v>23923860</v>
      </c>
      <c r="Z11" s="64"/>
      <c r="AA11" s="64">
        <v>1846843</v>
      </c>
      <c r="AB11" s="64"/>
      <c r="AC11" s="65">
        <f aca="true" t="shared" si="0" ref="AC11:AC74">SUM(C11:AA11)</f>
        <v>91504262</v>
      </c>
      <c r="AD11" s="65"/>
      <c r="AE11" s="66">
        <f aca="true" t="shared" si="1" ref="AE11:AE74">SUM(C11:S11)</f>
        <v>62514544</v>
      </c>
    </row>
    <row r="12" spans="1:33" ht="12">
      <c r="A12" s="15" t="s">
        <v>14</v>
      </c>
      <c r="C12" s="67">
        <v>4557787</v>
      </c>
      <c r="D12" s="67"/>
      <c r="E12" s="67">
        <v>5974110</v>
      </c>
      <c r="F12" s="67"/>
      <c r="G12" s="67">
        <v>4901749</v>
      </c>
      <c r="H12" s="67"/>
      <c r="I12" s="67">
        <v>2996413</v>
      </c>
      <c r="J12" s="67"/>
      <c r="K12" s="67">
        <v>7961774</v>
      </c>
      <c r="L12" s="67"/>
      <c r="M12" s="67">
        <v>5449370</v>
      </c>
      <c r="N12" s="67"/>
      <c r="O12" s="67">
        <v>0</v>
      </c>
      <c r="P12" s="67"/>
      <c r="Q12" s="67">
        <v>25000</v>
      </c>
      <c r="R12" s="67"/>
      <c r="S12" s="67">
        <v>234148</v>
      </c>
      <c r="T12" s="67"/>
      <c r="U12" s="67">
        <v>247278</v>
      </c>
      <c r="V12" s="67"/>
      <c r="W12" s="67">
        <v>541272</v>
      </c>
      <c r="X12" s="67"/>
      <c r="Y12" s="67">
        <v>997198</v>
      </c>
      <c r="Z12" s="67"/>
      <c r="AA12" s="67">
        <v>393299</v>
      </c>
      <c r="AB12" s="67"/>
      <c r="AC12" s="68">
        <f t="shared" si="0"/>
        <v>34279398</v>
      </c>
      <c r="AD12" s="68"/>
      <c r="AE12" s="69">
        <f t="shared" si="1"/>
        <v>32100351</v>
      </c>
      <c r="AF12" s="5"/>
      <c r="AG12" s="5"/>
    </row>
    <row r="13" spans="1:33" ht="12">
      <c r="A13" s="15" t="s">
        <v>15</v>
      </c>
      <c r="C13" s="67">
        <v>10501834</v>
      </c>
      <c r="D13" s="67"/>
      <c r="E13" s="67">
        <v>3562052</v>
      </c>
      <c r="F13" s="67"/>
      <c r="G13" s="67">
        <f>8162884-13793</f>
        <v>8149091</v>
      </c>
      <c r="H13" s="67"/>
      <c r="I13" s="67">
        <v>7286647</v>
      </c>
      <c r="J13" s="67"/>
      <c r="K13" s="67">
        <v>21239556</v>
      </c>
      <c r="L13" s="67"/>
      <c r="M13" s="67">
        <f>35540061-385378</f>
        <v>35154683</v>
      </c>
      <c r="N13" s="67"/>
      <c r="O13" s="67">
        <v>0</v>
      </c>
      <c r="P13" s="67"/>
      <c r="Q13" s="67">
        <v>708880</v>
      </c>
      <c r="R13" s="67"/>
      <c r="S13" s="67">
        <v>598412</v>
      </c>
      <c r="T13" s="67"/>
      <c r="U13" s="67">
        <v>3611384</v>
      </c>
      <c r="V13" s="67"/>
      <c r="W13" s="67">
        <v>0</v>
      </c>
      <c r="X13" s="67"/>
      <c r="Y13" s="67">
        <v>1261596</v>
      </c>
      <c r="Z13" s="67"/>
      <c r="AA13" s="67">
        <v>531466</v>
      </c>
      <c r="AB13" s="67"/>
      <c r="AC13" s="68">
        <f t="shared" si="0"/>
        <v>92605601</v>
      </c>
      <c r="AD13" s="68"/>
      <c r="AE13" s="69">
        <f t="shared" si="1"/>
        <v>87201155</v>
      </c>
      <c r="AF13" s="5"/>
      <c r="AG13" s="5"/>
    </row>
    <row r="14" spans="1:33" ht="12">
      <c r="A14" s="15" t="s">
        <v>16</v>
      </c>
      <c r="C14" s="67">
        <v>4192071</v>
      </c>
      <c r="D14" s="67"/>
      <c r="E14" s="67">
        <v>2553518</v>
      </c>
      <c r="F14" s="67"/>
      <c r="G14" s="67">
        <v>3482027</v>
      </c>
      <c r="H14" s="67"/>
      <c r="I14" s="67">
        <v>477890</v>
      </c>
      <c r="J14" s="67"/>
      <c r="K14" s="67">
        <v>2204635</v>
      </c>
      <c r="L14" s="67"/>
      <c r="M14" s="67">
        <f>25856650-13400</f>
        <v>25843250</v>
      </c>
      <c r="N14" s="67"/>
      <c r="O14" s="67">
        <v>20295</v>
      </c>
      <c r="P14" s="67"/>
      <c r="Q14" s="67">
        <v>28745</v>
      </c>
      <c r="R14" s="67"/>
      <c r="S14" s="5">
        <v>0</v>
      </c>
      <c r="T14" s="5"/>
      <c r="U14" s="67">
        <v>1912547</v>
      </c>
      <c r="V14" s="67"/>
      <c r="W14" s="67">
        <v>0</v>
      </c>
      <c r="X14" s="67"/>
      <c r="Y14" s="67">
        <v>462533</v>
      </c>
      <c r="Z14" s="67"/>
      <c r="AA14" s="67">
        <v>222965</v>
      </c>
      <c r="AB14" s="67"/>
      <c r="AC14" s="68">
        <f t="shared" si="0"/>
        <v>41400476</v>
      </c>
      <c r="AD14" s="68"/>
      <c r="AE14" s="69">
        <f t="shared" si="1"/>
        <v>38802431</v>
      </c>
      <c r="AF14" s="5"/>
      <c r="AG14" s="5"/>
    </row>
    <row r="15" spans="1:33" ht="12">
      <c r="A15" s="15" t="s">
        <v>17</v>
      </c>
      <c r="C15" s="67">
        <v>2555700</v>
      </c>
      <c r="D15" s="67"/>
      <c r="E15" s="67">
        <v>1605571</v>
      </c>
      <c r="F15" s="67"/>
      <c r="G15" s="67">
        <f>4016506-9574</f>
        <v>4006932</v>
      </c>
      <c r="H15" s="67"/>
      <c r="I15" s="67">
        <v>4387107</v>
      </c>
      <c r="J15" s="67"/>
      <c r="K15" s="67">
        <f>4586924-5712</f>
        <v>4581212</v>
      </c>
      <c r="L15" s="67"/>
      <c r="M15" s="67">
        <f>4192934-26659</f>
        <v>4166275</v>
      </c>
      <c r="N15" s="67"/>
      <c r="O15" s="67">
        <v>0</v>
      </c>
      <c r="P15" s="67"/>
      <c r="Q15" s="67">
        <v>0</v>
      </c>
      <c r="R15" s="67"/>
      <c r="S15" s="67">
        <v>978308</v>
      </c>
      <c r="T15" s="67"/>
      <c r="U15" s="67">
        <v>2186274</v>
      </c>
      <c r="V15" s="67"/>
      <c r="W15" s="67">
        <v>0</v>
      </c>
      <c r="X15" s="67"/>
      <c r="Y15" s="67">
        <v>961479</v>
      </c>
      <c r="Z15" s="67"/>
      <c r="AA15" s="67">
        <v>369325</v>
      </c>
      <c r="AB15" s="67"/>
      <c r="AC15" s="68">
        <f t="shared" si="0"/>
        <v>25798183</v>
      </c>
      <c r="AD15" s="68"/>
      <c r="AE15" s="69">
        <f t="shared" si="1"/>
        <v>22281105</v>
      </c>
      <c r="AF15" s="5"/>
      <c r="AG15" s="5"/>
    </row>
    <row r="16" spans="1:33" ht="12">
      <c r="A16" s="15" t="s">
        <v>18</v>
      </c>
      <c r="C16" s="38">
        <v>6169257</v>
      </c>
      <c r="D16" s="38"/>
      <c r="E16" s="67">
        <v>3087798</v>
      </c>
      <c r="F16" s="67"/>
      <c r="G16" s="67">
        <v>6990082</v>
      </c>
      <c r="H16" s="67"/>
      <c r="I16" s="67">
        <v>5259793</v>
      </c>
      <c r="J16" s="67"/>
      <c r="K16" s="67">
        <v>9350695</v>
      </c>
      <c r="L16" s="67"/>
      <c r="M16" s="67">
        <v>16025186</v>
      </c>
      <c r="N16" s="67"/>
      <c r="O16" s="67">
        <v>214004</v>
      </c>
      <c r="P16" s="67"/>
      <c r="Q16" s="67">
        <v>0</v>
      </c>
      <c r="R16" s="67"/>
      <c r="S16" s="67">
        <v>70599</v>
      </c>
      <c r="T16" s="67"/>
      <c r="U16" s="67">
        <v>2594580</v>
      </c>
      <c r="V16" s="67"/>
      <c r="W16" s="67">
        <v>1299529</v>
      </c>
      <c r="X16" s="67"/>
      <c r="Y16" s="67">
        <v>480908</v>
      </c>
      <c r="Z16" s="67"/>
      <c r="AA16" s="67">
        <v>340321</v>
      </c>
      <c r="AB16" s="67"/>
      <c r="AC16" s="68">
        <f t="shared" si="0"/>
        <v>51882752</v>
      </c>
      <c r="AD16" s="68"/>
      <c r="AE16" s="69">
        <f t="shared" si="1"/>
        <v>47167414</v>
      </c>
      <c r="AF16" s="5"/>
      <c r="AG16" s="5"/>
    </row>
    <row r="17" spans="1:33" ht="12">
      <c r="A17" s="15" t="s">
        <v>99</v>
      </c>
      <c r="C17" s="67">
        <v>4673985</v>
      </c>
      <c r="D17" s="67"/>
      <c r="E17" s="67">
        <v>1465950</v>
      </c>
      <c r="F17" s="67"/>
      <c r="G17" s="67">
        <v>3448538</v>
      </c>
      <c r="H17" s="67"/>
      <c r="I17" s="67">
        <v>4586680</v>
      </c>
      <c r="J17" s="67"/>
      <c r="K17" s="67">
        <v>4680976</v>
      </c>
      <c r="L17" s="67"/>
      <c r="M17" s="67">
        <v>4710755</v>
      </c>
      <c r="N17" s="67"/>
      <c r="O17" s="67">
        <v>214354</v>
      </c>
      <c r="P17" s="67"/>
      <c r="Q17" s="67">
        <v>12278</v>
      </c>
      <c r="R17" s="67"/>
      <c r="S17" s="67">
        <v>0</v>
      </c>
      <c r="T17" s="67"/>
      <c r="U17" s="67">
        <v>464749</v>
      </c>
      <c r="V17" s="67"/>
      <c r="W17" s="67">
        <v>0</v>
      </c>
      <c r="X17" s="67"/>
      <c r="Y17" s="67">
        <v>318205</v>
      </c>
      <c r="Z17" s="67"/>
      <c r="AA17" s="67">
        <v>195395</v>
      </c>
      <c r="AB17" s="67"/>
      <c r="AC17" s="68">
        <f t="shared" si="0"/>
        <v>24771865</v>
      </c>
      <c r="AD17" s="68"/>
      <c r="AE17" s="69">
        <f t="shared" si="1"/>
        <v>23793516</v>
      </c>
      <c r="AF17" s="5"/>
      <c r="AG17" s="5"/>
    </row>
    <row r="18" spans="1:33" ht="12">
      <c r="A18" s="15" t="s">
        <v>19</v>
      </c>
      <c r="C18" s="67">
        <v>29197200</v>
      </c>
      <c r="D18" s="67"/>
      <c r="E18" s="67">
        <v>11939062</v>
      </c>
      <c r="F18" s="67"/>
      <c r="G18" s="67">
        <v>31670698</v>
      </c>
      <c r="H18" s="67"/>
      <c r="I18" s="67">
        <v>15363662</v>
      </c>
      <c r="J18" s="67"/>
      <c r="K18" s="67">
        <v>47237438</v>
      </c>
      <c r="L18" s="67"/>
      <c r="M18" s="67">
        <v>70148591</v>
      </c>
      <c r="N18" s="67"/>
      <c r="O18" s="67">
        <v>0</v>
      </c>
      <c r="P18" s="67"/>
      <c r="Q18" s="67">
        <v>520722</v>
      </c>
      <c r="R18" s="67"/>
      <c r="S18" s="67">
        <v>1573832</v>
      </c>
      <c r="T18" s="67"/>
      <c r="U18" s="67">
        <v>27547125</v>
      </c>
      <c r="V18" s="67"/>
      <c r="W18" s="67">
        <v>0</v>
      </c>
      <c r="X18" s="67"/>
      <c r="Y18" s="67">
        <v>2747064</v>
      </c>
      <c r="Z18" s="67"/>
      <c r="AA18" s="67">
        <v>41608952</v>
      </c>
      <c r="AB18" s="67"/>
      <c r="AC18" s="68">
        <f t="shared" si="0"/>
        <v>279554346</v>
      </c>
      <c r="AD18" s="68"/>
      <c r="AE18" s="69">
        <f t="shared" si="1"/>
        <v>207651205</v>
      </c>
      <c r="AF18" s="5"/>
      <c r="AG18" s="5"/>
    </row>
    <row r="19" spans="1:33" ht="12">
      <c r="A19" s="15" t="s">
        <v>20</v>
      </c>
      <c r="C19" s="67">
        <v>2644885</v>
      </c>
      <c r="D19" s="67"/>
      <c r="E19" s="67">
        <v>670208</v>
      </c>
      <c r="F19" s="67"/>
      <c r="G19" s="67">
        <v>2048146</v>
      </c>
      <c r="H19" s="67"/>
      <c r="I19" s="67">
        <v>3170535</v>
      </c>
      <c r="J19" s="67"/>
      <c r="K19" s="67">
        <v>2998815</v>
      </c>
      <c r="L19" s="67"/>
      <c r="M19" s="67">
        <v>4601894</v>
      </c>
      <c r="N19" s="67"/>
      <c r="O19" s="67">
        <v>219657</v>
      </c>
      <c r="P19" s="67"/>
      <c r="Q19" s="67">
        <v>0</v>
      </c>
      <c r="R19" s="67"/>
      <c r="S19" s="67">
        <f>276647+202+479842</f>
        <v>756691</v>
      </c>
      <c r="T19" s="67"/>
      <c r="U19" s="67">
        <v>405224</v>
      </c>
      <c r="V19" s="67"/>
      <c r="W19" s="67">
        <v>0</v>
      </c>
      <c r="X19" s="67"/>
      <c r="Y19" s="67">
        <v>135303</v>
      </c>
      <c r="Z19" s="67"/>
      <c r="AA19" s="67">
        <v>36413</v>
      </c>
      <c r="AB19" s="67"/>
      <c r="AC19" s="68">
        <f t="shared" si="0"/>
        <v>17687771</v>
      </c>
      <c r="AD19" s="68"/>
      <c r="AE19" s="69">
        <f t="shared" si="1"/>
        <v>17110831</v>
      </c>
      <c r="AF19" s="5"/>
      <c r="AG19" s="5"/>
    </row>
    <row r="20" spans="1:33" ht="12" hidden="1">
      <c r="A20" s="13" t="s">
        <v>177</v>
      </c>
      <c r="B20" s="13"/>
      <c r="C20" s="67"/>
      <c r="D20" s="67"/>
      <c r="E20" s="5"/>
      <c r="F20" s="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68"/>
      <c r="AE20" s="69"/>
      <c r="AF20" s="5"/>
      <c r="AG20" s="5"/>
    </row>
    <row r="21" spans="1:33" ht="12">
      <c r="A21" s="15" t="s">
        <v>21</v>
      </c>
      <c r="C21" s="67">
        <v>5554446</v>
      </c>
      <c r="D21" s="67"/>
      <c r="E21" s="67">
        <v>7454577</v>
      </c>
      <c r="F21" s="67"/>
      <c r="G21" s="67">
        <v>9653133</v>
      </c>
      <c r="H21" s="67"/>
      <c r="I21" s="67">
        <v>15904641</v>
      </c>
      <c r="J21" s="67"/>
      <c r="K21" s="67">
        <v>21543948</v>
      </c>
      <c r="L21" s="67"/>
      <c r="M21" s="67">
        <f>41219391-49234</f>
        <v>41170157</v>
      </c>
      <c r="N21" s="67"/>
      <c r="O21" s="67">
        <v>0</v>
      </c>
      <c r="P21" s="67"/>
      <c r="Q21" s="67">
        <v>6410942</v>
      </c>
      <c r="R21" s="67"/>
      <c r="S21" s="67">
        <v>0</v>
      </c>
      <c r="T21" s="67"/>
      <c r="U21" s="67">
        <v>4067341</v>
      </c>
      <c r="V21" s="67"/>
      <c r="W21" s="67">
        <v>0</v>
      </c>
      <c r="X21" s="67"/>
      <c r="Y21" s="67">
        <v>565000</v>
      </c>
      <c r="Z21" s="67"/>
      <c r="AA21" s="67">
        <v>606948</v>
      </c>
      <c r="AB21" s="67"/>
      <c r="AC21" s="68">
        <f t="shared" si="0"/>
        <v>112931133</v>
      </c>
      <c r="AD21" s="68"/>
      <c r="AE21" s="69">
        <f t="shared" si="1"/>
        <v>107691844</v>
      </c>
      <c r="AF21" s="5"/>
      <c r="AG21" s="5"/>
    </row>
    <row r="22" spans="1:33" ht="12">
      <c r="A22" s="15" t="s">
        <v>194</v>
      </c>
      <c r="B22" s="24"/>
      <c r="C22" s="67">
        <v>16309120</v>
      </c>
      <c r="D22" s="67"/>
      <c r="E22" s="67">
        <v>7366542</v>
      </c>
      <c r="F22" s="67"/>
      <c r="G22" s="67">
        <v>21490260</v>
      </c>
      <c r="H22" s="67"/>
      <c r="I22" s="67">
        <v>7982618</v>
      </c>
      <c r="J22" s="67"/>
      <c r="K22" s="67">
        <v>821758</v>
      </c>
      <c r="L22" s="67"/>
      <c r="M22" s="67">
        <v>28152379</v>
      </c>
      <c r="N22" s="67"/>
      <c r="O22" s="67">
        <v>321188</v>
      </c>
      <c r="P22" s="67"/>
      <c r="Q22" s="67">
        <v>0</v>
      </c>
      <c r="R22" s="67"/>
      <c r="S22" s="67">
        <v>1875182</v>
      </c>
      <c r="T22" s="67"/>
      <c r="U22" s="67">
        <v>11604147</v>
      </c>
      <c r="V22" s="67"/>
      <c r="W22" s="67">
        <v>2066421</v>
      </c>
      <c r="X22" s="67"/>
      <c r="Y22" s="67">
        <v>3634938</v>
      </c>
      <c r="Z22" s="67"/>
      <c r="AA22" s="67">
        <v>2345007</v>
      </c>
      <c r="AB22" s="67"/>
      <c r="AC22" s="68">
        <f t="shared" si="0"/>
        <v>103969560</v>
      </c>
      <c r="AD22" s="68"/>
      <c r="AE22" s="69">
        <f t="shared" si="1"/>
        <v>84319047</v>
      </c>
      <c r="AF22" s="5"/>
      <c r="AG22" s="5"/>
    </row>
    <row r="23" spans="1:33" ht="12">
      <c r="A23" s="15" t="s">
        <v>23</v>
      </c>
      <c r="C23" s="5">
        <f>4460887</f>
        <v>4460887</v>
      </c>
      <c r="D23" s="5"/>
      <c r="E23" s="5">
        <v>2451733</v>
      </c>
      <c r="F23" s="5"/>
      <c r="G23" s="5">
        <v>3214971</v>
      </c>
      <c r="H23" s="5"/>
      <c r="I23" s="5">
        <v>4503951</v>
      </c>
      <c r="J23" s="5"/>
      <c r="K23" s="5">
        <v>198319</v>
      </c>
      <c r="L23" s="5"/>
      <c r="M23" s="5">
        <v>8712175</v>
      </c>
      <c r="N23" s="5"/>
      <c r="O23" s="5">
        <v>150447</v>
      </c>
      <c r="P23" s="5"/>
      <c r="Q23" s="5">
        <v>0</v>
      </c>
      <c r="R23" s="5"/>
      <c r="S23" s="5">
        <f>865599-57325</f>
        <v>808274</v>
      </c>
      <c r="T23" s="5"/>
      <c r="U23" s="5">
        <f>1748597+3379</f>
        <v>1751976</v>
      </c>
      <c r="V23" s="5"/>
      <c r="W23" s="5">
        <v>0</v>
      </c>
      <c r="X23" s="5"/>
      <c r="Y23" s="5">
        <v>287624</v>
      </c>
      <c r="Z23" s="5"/>
      <c r="AA23" s="5">
        <v>415422</v>
      </c>
      <c r="AB23" s="5"/>
      <c r="AC23" s="68">
        <f t="shared" si="0"/>
        <v>26955779</v>
      </c>
      <c r="AD23" s="68"/>
      <c r="AE23" s="69">
        <f t="shared" si="1"/>
        <v>24500757</v>
      </c>
      <c r="AF23" s="5"/>
      <c r="AG23" s="5"/>
    </row>
    <row r="24" spans="1:33" ht="12" hidden="1">
      <c r="A24" s="15" t="s">
        <v>24</v>
      </c>
      <c r="C24" s="70"/>
      <c r="D24" s="7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68"/>
      <c r="AE24" s="69"/>
      <c r="AF24" s="5"/>
      <c r="AG24" s="5"/>
    </row>
    <row r="25" spans="1:33" ht="12" hidden="1">
      <c r="A25" s="15" t="s">
        <v>25</v>
      </c>
      <c r="B25" s="2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>
        <f t="shared" si="0"/>
        <v>0</v>
      </c>
      <c r="AD25" s="68"/>
      <c r="AE25" s="69">
        <f t="shared" si="1"/>
        <v>0</v>
      </c>
      <c r="AF25" s="5"/>
      <c r="AG25" s="5"/>
    </row>
    <row r="26" spans="1:33" ht="12">
      <c r="A26" s="15" t="s">
        <v>192</v>
      </c>
      <c r="C26" s="67">
        <v>3245774</v>
      </c>
      <c r="D26" s="67"/>
      <c r="E26" s="67">
        <v>2061426</v>
      </c>
      <c r="F26" s="67"/>
      <c r="G26" s="67">
        <v>4978739</v>
      </c>
      <c r="H26" s="67"/>
      <c r="I26" s="67">
        <v>4687404</v>
      </c>
      <c r="J26" s="67"/>
      <c r="K26" s="67">
        <v>4059645</v>
      </c>
      <c r="L26" s="67"/>
      <c r="M26" s="67">
        <v>10280689</v>
      </c>
      <c r="N26" s="67"/>
      <c r="O26" s="67">
        <v>0</v>
      </c>
      <c r="P26" s="67"/>
      <c r="Q26" s="5">
        <v>0</v>
      </c>
      <c r="R26" s="5"/>
      <c r="S26" s="67">
        <v>115439</v>
      </c>
      <c r="T26" s="67"/>
      <c r="U26" s="67">
        <v>1688717</v>
      </c>
      <c r="V26" s="67"/>
      <c r="W26" s="67">
        <v>490712</v>
      </c>
      <c r="X26" s="67"/>
      <c r="Y26" s="67">
        <v>3973373</v>
      </c>
      <c r="Z26" s="67"/>
      <c r="AA26" s="67">
        <v>498149</v>
      </c>
      <c r="AB26" s="67"/>
      <c r="AC26" s="68">
        <f t="shared" si="0"/>
        <v>36080067</v>
      </c>
      <c r="AD26" s="68"/>
      <c r="AE26" s="69">
        <f t="shared" si="1"/>
        <v>29429116</v>
      </c>
      <c r="AF26" s="5"/>
      <c r="AG26" s="5"/>
    </row>
    <row r="27" spans="1:33" ht="12">
      <c r="A27" s="15" t="s">
        <v>26</v>
      </c>
      <c r="C27" s="67">
        <f>63613000</f>
        <v>63613000</v>
      </c>
      <c r="D27" s="67"/>
      <c r="E27" s="67">
        <v>276089000</v>
      </c>
      <c r="F27" s="67"/>
      <c r="G27" s="67">
        <v>0</v>
      </c>
      <c r="H27" s="67"/>
      <c r="I27" s="67">
        <v>62181000</v>
      </c>
      <c r="J27" s="67"/>
      <c r="K27" s="67">
        <f>156515000</f>
        <v>156515000</v>
      </c>
      <c r="L27" s="67"/>
      <c r="M27" s="67">
        <f>630304000</f>
        <v>630304000</v>
      </c>
      <c r="N27" s="67"/>
      <c r="O27" s="67">
        <v>24493000</v>
      </c>
      <c r="P27" s="67"/>
      <c r="Q27" s="67">
        <v>0</v>
      </c>
      <c r="R27" s="67"/>
      <c r="S27" s="67">
        <v>0</v>
      </c>
      <c r="T27" s="67"/>
      <c r="U27" s="67">
        <v>28656000</v>
      </c>
      <c r="V27" s="67"/>
      <c r="W27" s="67">
        <v>0</v>
      </c>
      <c r="X27" s="67"/>
      <c r="Y27" s="67">
        <v>21481000</v>
      </c>
      <c r="Z27" s="67"/>
      <c r="AA27" s="67">
        <v>16874000</v>
      </c>
      <c r="AB27" s="67"/>
      <c r="AC27" s="68">
        <f t="shared" si="0"/>
        <v>1280206000</v>
      </c>
      <c r="AD27" s="68"/>
      <c r="AE27" s="69">
        <f t="shared" si="1"/>
        <v>1213195000</v>
      </c>
      <c r="AF27" s="5"/>
      <c r="AG27" s="5"/>
    </row>
    <row r="28" spans="1:33" ht="12">
      <c r="A28" s="15" t="s">
        <v>27</v>
      </c>
      <c r="C28" s="67">
        <v>6554947</v>
      </c>
      <c r="D28" s="67"/>
      <c r="E28" s="67">
        <v>0</v>
      </c>
      <c r="F28" s="67"/>
      <c r="G28" s="67">
        <v>4101559</v>
      </c>
      <c r="H28" s="67"/>
      <c r="I28" s="67">
        <v>3864389</v>
      </c>
      <c r="J28" s="67"/>
      <c r="K28" s="67">
        <v>165019</v>
      </c>
      <c r="L28" s="67"/>
      <c r="M28" s="67">
        <v>11632312</v>
      </c>
      <c r="N28" s="67"/>
      <c r="O28" s="67">
        <v>705625</v>
      </c>
      <c r="P28" s="67"/>
      <c r="Q28" s="67">
        <v>0</v>
      </c>
      <c r="R28" s="67"/>
      <c r="S28" s="67">
        <v>0</v>
      </c>
      <c r="T28" s="67"/>
      <c r="U28" s="67">
        <v>1605144</v>
      </c>
      <c r="V28" s="67"/>
      <c r="W28" s="67">
        <v>0</v>
      </c>
      <c r="X28" s="67"/>
      <c r="Y28" s="67">
        <v>396410</v>
      </c>
      <c r="Z28" s="67"/>
      <c r="AA28" s="67">
        <v>275890</v>
      </c>
      <c r="AB28" s="67"/>
      <c r="AC28" s="68">
        <f t="shared" si="0"/>
        <v>29301295</v>
      </c>
      <c r="AD28" s="68"/>
      <c r="AE28" s="69">
        <f t="shared" si="1"/>
        <v>27023851</v>
      </c>
      <c r="AF28" s="5"/>
      <c r="AG28" s="5"/>
    </row>
    <row r="29" spans="1:33" ht="12">
      <c r="A29" s="15" t="s">
        <v>28</v>
      </c>
      <c r="B29" s="24"/>
      <c r="C29" s="67">
        <v>3099734</v>
      </c>
      <c r="D29" s="67"/>
      <c r="E29" s="67">
        <v>1340277</v>
      </c>
      <c r="F29" s="67"/>
      <c r="G29" s="67">
        <v>3523417</v>
      </c>
      <c r="H29" s="67"/>
      <c r="I29" s="67">
        <v>3806778</v>
      </c>
      <c r="J29" s="67"/>
      <c r="K29" s="67">
        <v>155776</v>
      </c>
      <c r="L29" s="67"/>
      <c r="M29" s="67">
        <v>6643776</v>
      </c>
      <c r="N29" s="67"/>
      <c r="O29" s="67">
        <v>787701</v>
      </c>
      <c r="P29" s="67"/>
      <c r="Q29" s="67">
        <v>0</v>
      </c>
      <c r="R29" s="67"/>
      <c r="S29" s="67">
        <v>1703271</v>
      </c>
      <c r="T29" s="67"/>
      <c r="U29" s="67">
        <v>4074061</v>
      </c>
      <c r="V29" s="67"/>
      <c r="W29" s="67">
        <v>0</v>
      </c>
      <c r="X29" s="67"/>
      <c r="Y29" s="67">
        <v>224592</v>
      </c>
      <c r="Z29" s="67"/>
      <c r="AA29" s="67">
        <v>196930</v>
      </c>
      <c r="AB29" s="67"/>
      <c r="AC29" s="68">
        <f t="shared" si="0"/>
        <v>25556313</v>
      </c>
      <c r="AD29" s="68"/>
      <c r="AE29" s="69">
        <f t="shared" si="1"/>
        <v>21060730</v>
      </c>
      <c r="AF29" s="5"/>
      <c r="AG29" s="5"/>
    </row>
    <row r="30" spans="1:33" ht="12">
      <c r="A30" s="15" t="s">
        <v>29</v>
      </c>
      <c r="C30" s="5">
        <v>12413253</v>
      </c>
      <c r="D30" s="5"/>
      <c r="E30" s="5">
        <v>4636184</v>
      </c>
      <c r="F30" s="5"/>
      <c r="G30" s="5">
        <v>18068893</v>
      </c>
      <c r="H30" s="5"/>
      <c r="I30" s="5">
        <v>16171124</v>
      </c>
      <c r="J30" s="5"/>
      <c r="K30" s="5">
        <v>9989000</v>
      </c>
      <c r="L30" s="5"/>
      <c r="M30" s="5">
        <v>8867814</v>
      </c>
      <c r="N30" s="5"/>
      <c r="O30" s="5">
        <v>0</v>
      </c>
      <c r="P30" s="5"/>
      <c r="Q30" s="5">
        <v>0</v>
      </c>
      <c r="R30" s="5"/>
      <c r="S30" s="5">
        <v>0</v>
      </c>
      <c r="T30" s="5"/>
      <c r="U30" s="5">
        <v>9882166</v>
      </c>
      <c r="V30" s="5"/>
      <c r="W30" s="5">
        <v>488604</v>
      </c>
      <c r="X30" s="5"/>
      <c r="Y30" s="5">
        <v>565000</v>
      </c>
      <c r="Z30" s="5"/>
      <c r="AA30" s="5">
        <v>1211029</v>
      </c>
      <c r="AB30" s="5"/>
      <c r="AC30" s="68">
        <f t="shared" si="0"/>
        <v>82293067</v>
      </c>
      <c r="AD30" s="68"/>
      <c r="AE30" s="69">
        <f t="shared" si="1"/>
        <v>70146268</v>
      </c>
      <c r="AF30" s="5"/>
      <c r="AG30" s="5"/>
    </row>
    <row r="31" spans="1:33" ht="12">
      <c r="A31" s="15" t="s">
        <v>30</v>
      </c>
      <c r="C31" s="67">
        <v>9422655</v>
      </c>
      <c r="D31" s="67"/>
      <c r="E31" s="67">
        <v>4274033</v>
      </c>
      <c r="F31" s="67"/>
      <c r="G31" s="67">
        <v>9308884</v>
      </c>
      <c r="H31" s="67"/>
      <c r="I31" s="67">
        <v>5968422</v>
      </c>
      <c r="J31" s="67"/>
      <c r="K31" s="67">
        <v>1260603</v>
      </c>
      <c r="L31" s="67"/>
      <c r="M31" s="67">
        <v>20374727</v>
      </c>
      <c r="N31" s="67"/>
      <c r="O31" s="67">
        <v>885133</v>
      </c>
      <c r="P31" s="67"/>
      <c r="Q31" s="67">
        <v>378319</v>
      </c>
      <c r="R31" s="67"/>
      <c r="S31" s="67">
        <v>1188599</v>
      </c>
      <c r="T31" s="67"/>
      <c r="U31" s="67">
        <v>6152971</v>
      </c>
      <c r="V31" s="67"/>
      <c r="W31" s="67">
        <v>0</v>
      </c>
      <c r="X31" s="67"/>
      <c r="Y31" s="67">
        <v>1075704</v>
      </c>
      <c r="Z31" s="67"/>
      <c r="AA31" s="67">
        <v>619612</v>
      </c>
      <c r="AB31" s="67"/>
      <c r="AC31" s="68">
        <f t="shared" si="0"/>
        <v>60909662</v>
      </c>
      <c r="AD31" s="68"/>
      <c r="AE31" s="69">
        <f t="shared" si="1"/>
        <v>53061375</v>
      </c>
      <c r="AF31" s="5"/>
      <c r="AG31" s="5"/>
    </row>
    <row r="32" spans="1:33" ht="12">
      <c r="A32" s="15" t="s">
        <v>31</v>
      </c>
      <c r="C32" s="67">
        <v>8068177</v>
      </c>
      <c r="D32" s="67"/>
      <c r="E32" s="67">
        <v>4162547</v>
      </c>
      <c r="F32" s="67"/>
      <c r="G32" s="67">
        <v>9656234</v>
      </c>
      <c r="H32" s="67"/>
      <c r="I32" s="67">
        <v>4073333</v>
      </c>
      <c r="J32" s="67"/>
      <c r="K32" s="67">
        <v>14975129</v>
      </c>
      <c r="L32" s="67"/>
      <c r="M32" s="67">
        <v>17096811</v>
      </c>
      <c r="N32" s="67"/>
      <c r="O32" s="67">
        <v>0</v>
      </c>
      <c r="P32" s="67"/>
      <c r="Q32" s="67">
        <v>0</v>
      </c>
      <c r="R32" s="67"/>
      <c r="S32" s="67">
        <f>383772+129908+708833</f>
        <v>1222513</v>
      </c>
      <c r="T32" s="67"/>
      <c r="U32" s="67">
        <v>8678238</v>
      </c>
      <c r="V32" s="67"/>
      <c r="W32" s="67">
        <v>1742673</v>
      </c>
      <c r="X32" s="67"/>
      <c r="Y32" s="67">
        <v>1677766</v>
      </c>
      <c r="Z32" s="67"/>
      <c r="AA32" s="67">
        <v>883780</v>
      </c>
      <c r="AB32" s="67"/>
      <c r="AC32" s="68">
        <f t="shared" si="0"/>
        <v>72237201</v>
      </c>
      <c r="AD32" s="68"/>
      <c r="AE32" s="69">
        <f t="shared" si="1"/>
        <v>59254744</v>
      </c>
      <c r="AF32" s="5"/>
      <c r="AG32" s="5"/>
    </row>
    <row r="33" spans="1:33" ht="12">
      <c r="A33" s="15" t="s">
        <v>32</v>
      </c>
      <c r="C33" s="67">
        <v>2943943</v>
      </c>
      <c r="D33" s="67"/>
      <c r="E33" s="67">
        <v>1781185</v>
      </c>
      <c r="F33" s="67"/>
      <c r="G33" s="67">
        <v>2794787</v>
      </c>
      <c r="H33" s="67"/>
      <c r="I33" s="67">
        <v>4050007</v>
      </c>
      <c r="J33" s="67"/>
      <c r="K33" s="67">
        <v>2815628</v>
      </c>
      <c r="L33" s="67"/>
      <c r="M33" s="67">
        <f>6370017-18188</f>
        <v>6351829</v>
      </c>
      <c r="N33" s="67"/>
      <c r="O33" s="67">
        <v>573806</v>
      </c>
      <c r="P33" s="67"/>
      <c r="Q33" s="67">
        <v>519300</v>
      </c>
      <c r="R33" s="67"/>
      <c r="S33" s="67">
        <v>459438</v>
      </c>
      <c r="T33" s="67"/>
      <c r="U33" s="67">
        <v>349376</v>
      </c>
      <c r="V33" s="67"/>
      <c r="W33" s="67">
        <v>0</v>
      </c>
      <c r="X33" s="67"/>
      <c r="Y33" s="67">
        <v>269270</v>
      </c>
      <c r="Z33" s="67"/>
      <c r="AA33" s="67">
        <v>190390</v>
      </c>
      <c r="AB33" s="67"/>
      <c r="AC33" s="68">
        <f t="shared" si="0"/>
        <v>23098959</v>
      </c>
      <c r="AD33" s="68"/>
      <c r="AE33" s="69">
        <f t="shared" si="1"/>
        <v>22289923</v>
      </c>
      <c r="AF33" s="5"/>
      <c r="AG33" s="5"/>
    </row>
    <row r="34" spans="1:33" ht="12">
      <c r="A34" s="15" t="s">
        <v>33</v>
      </c>
      <c r="C34" s="67">
        <v>69775000</v>
      </c>
      <c r="D34" s="67"/>
      <c r="E34" s="67">
        <v>58561000</v>
      </c>
      <c r="F34" s="67"/>
      <c r="G34" s="67">
        <v>104964000</v>
      </c>
      <c r="H34" s="67"/>
      <c r="I34" s="67">
        <v>38484000</v>
      </c>
      <c r="J34" s="67"/>
      <c r="K34" s="67">
        <v>249544000</v>
      </c>
      <c r="L34" s="67"/>
      <c r="M34" s="67">
        <v>312775000</v>
      </c>
      <c r="N34" s="67"/>
      <c r="O34" s="67">
        <v>6557000</v>
      </c>
      <c r="P34" s="67"/>
      <c r="Q34" s="67">
        <v>13959000</v>
      </c>
      <c r="R34" s="67"/>
      <c r="S34" s="67">
        <v>1131000</v>
      </c>
      <c r="T34" s="67"/>
      <c r="U34" s="67">
        <v>13578000</v>
      </c>
      <c r="V34" s="67"/>
      <c r="W34" s="67">
        <v>7446000</v>
      </c>
      <c r="X34" s="67"/>
      <c r="Y34" s="67">
        <v>8437000</v>
      </c>
      <c r="Z34" s="67"/>
      <c r="AA34" s="67">
        <v>8424000</v>
      </c>
      <c r="AB34" s="67"/>
      <c r="AC34" s="68">
        <f t="shared" si="0"/>
        <v>893635000</v>
      </c>
      <c r="AD34" s="68"/>
      <c r="AE34" s="69">
        <f t="shared" si="1"/>
        <v>855750000</v>
      </c>
      <c r="AF34" s="5"/>
      <c r="AG34" s="5"/>
    </row>
    <row r="35" spans="1:33" ht="12">
      <c r="A35" s="15" t="s">
        <v>34</v>
      </c>
      <c r="C35" s="67">
        <v>3488001</v>
      </c>
      <c r="D35" s="67"/>
      <c r="E35" s="67">
        <v>1290809</v>
      </c>
      <c r="F35" s="67"/>
      <c r="G35" s="67">
        <v>5252516</v>
      </c>
      <c r="H35" s="67"/>
      <c r="I35" s="67">
        <v>4610356</v>
      </c>
      <c r="J35" s="67"/>
      <c r="K35" s="67">
        <v>1059267</v>
      </c>
      <c r="L35" s="67"/>
      <c r="M35" s="67">
        <v>5384969</v>
      </c>
      <c r="N35" s="67"/>
      <c r="O35" s="67">
        <v>807585</v>
      </c>
      <c r="P35" s="67"/>
      <c r="Q35" s="67">
        <v>0</v>
      </c>
      <c r="R35" s="67"/>
      <c r="S35" s="67">
        <f>1056544-2001</f>
        <v>1054543</v>
      </c>
      <c r="T35" s="67"/>
      <c r="U35" s="67">
        <v>1598416</v>
      </c>
      <c r="V35" s="67"/>
      <c r="W35" s="67">
        <v>675211</v>
      </c>
      <c r="X35" s="67"/>
      <c r="Y35" s="67">
        <v>1389779</v>
      </c>
      <c r="Z35" s="67"/>
      <c r="AA35" s="67">
        <v>97487</v>
      </c>
      <c r="AB35" s="67"/>
      <c r="AC35" s="68">
        <f t="shared" si="0"/>
        <v>26708939</v>
      </c>
      <c r="AD35" s="68"/>
      <c r="AE35" s="69">
        <f t="shared" si="1"/>
        <v>22948046</v>
      </c>
      <c r="AF35" s="5"/>
      <c r="AG35" s="5"/>
    </row>
    <row r="36" spans="1:33" ht="12">
      <c r="A36" s="15" t="s">
        <v>35</v>
      </c>
      <c r="C36" s="67">
        <v>1781249</v>
      </c>
      <c r="D36" s="67"/>
      <c r="E36" s="67">
        <v>971807</v>
      </c>
      <c r="F36" s="67"/>
      <c r="G36" s="67">
        <v>3690067</v>
      </c>
      <c r="H36" s="67"/>
      <c r="I36" s="67">
        <v>4692110</v>
      </c>
      <c r="J36" s="67"/>
      <c r="K36" s="67">
        <v>3212840</v>
      </c>
      <c r="L36" s="67"/>
      <c r="M36" s="67">
        <f>8371118-23609</f>
        <v>8347509</v>
      </c>
      <c r="N36" s="67"/>
      <c r="O36" s="67">
        <v>0</v>
      </c>
      <c r="P36" s="67"/>
      <c r="Q36" s="67">
        <v>0</v>
      </c>
      <c r="R36" s="67"/>
      <c r="S36" s="67">
        <v>1080558</v>
      </c>
      <c r="T36" s="67"/>
      <c r="U36" s="67">
        <v>22686</v>
      </c>
      <c r="V36" s="67"/>
      <c r="W36" s="67">
        <v>0</v>
      </c>
      <c r="X36" s="67"/>
      <c r="Y36" s="67">
        <v>267729</v>
      </c>
      <c r="Z36" s="67"/>
      <c r="AA36" s="67">
        <v>72606</v>
      </c>
      <c r="AB36" s="67"/>
      <c r="AC36" s="68">
        <f t="shared" si="0"/>
        <v>24139161</v>
      </c>
      <c r="AD36" s="68"/>
      <c r="AE36" s="69">
        <f t="shared" si="1"/>
        <v>23776140</v>
      </c>
      <c r="AF36" s="5"/>
      <c r="AG36" s="5"/>
    </row>
    <row r="37" spans="1:33" ht="12">
      <c r="A37" s="15" t="s">
        <v>36</v>
      </c>
      <c r="C37" s="67">
        <v>6701273</v>
      </c>
      <c r="D37" s="67"/>
      <c r="E37" s="67">
        <v>2866706</v>
      </c>
      <c r="F37" s="67"/>
      <c r="G37" s="67">
        <v>8683974</v>
      </c>
      <c r="H37" s="67"/>
      <c r="I37" s="67">
        <v>6260869</v>
      </c>
      <c r="J37" s="67"/>
      <c r="K37" s="67">
        <v>5227754</v>
      </c>
      <c r="L37" s="67"/>
      <c r="M37" s="67">
        <v>24809358</v>
      </c>
      <c r="N37" s="67"/>
      <c r="O37" s="67">
        <v>1385018</v>
      </c>
      <c r="P37" s="67"/>
      <c r="Q37" s="67">
        <v>0</v>
      </c>
      <c r="R37" s="67"/>
      <c r="S37" s="67">
        <v>0</v>
      </c>
      <c r="T37" s="67"/>
      <c r="U37" s="67">
        <v>7173952</v>
      </c>
      <c r="V37" s="67"/>
      <c r="W37" s="67">
        <v>652607</v>
      </c>
      <c r="X37" s="67"/>
      <c r="Y37" s="67">
        <v>2010454</v>
      </c>
      <c r="Z37" s="67"/>
      <c r="AA37" s="67">
        <v>411389</v>
      </c>
      <c r="AB37" s="67"/>
      <c r="AC37" s="68">
        <f t="shared" si="0"/>
        <v>66183354</v>
      </c>
      <c r="AD37" s="68"/>
      <c r="AE37" s="69">
        <f t="shared" si="1"/>
        <v>55934952</v>
      </c>
      <c r="AF37" s="5"/>
      <c r="AG37" s="5"/>
    </row>
    <row r="38" spans="1:33" ht="12">
      <c r="A38" s="15" t="s">
        <v>195</v>
      </c>
      <c r="C38" s="67">
        <v>14811043</v>
      </c>
      <c r="D38" s="67"/>
      <c r="E38" s="67">
        <v>6155177</v>
      </c>
      <c r="F38" s="67"/>
      <c r="G38" s="67">
        <v>17729799</v>
      </c>
      <c r="H38" s="67"/>
      <c r="I38" s="67">
        <v>7648011</v>
      </c>
      <c r="J38" s="67"/>
      <c r="K38" s="67">
        <v>13631516</v>
      </c>
      <c r="L38" s="67"/>
      <c r="M38" s="67">
        <v>25903593</v>
      </c>
      <c r="N38" s="67"/>
      <c r="O38" s="67">
        <v>1539497</v>
      </c>
      <c r="P38" s="67"/>
      <c r="Q38" s="67">
        <v>2808892</v>
      </c>
      <c r="R38" s="67"/>
      <c r="S38" s="67">
        <v>0</v>
      </c>
      <c r="T38" s="67"/>
      <c r="U38" s="67">
        <v>3215548</v>
      </c>
      <c r="V38" s="67"/>
      <c r="W38" s="67">
        <v>0</v>
      </c>
      <c r="X38" s="67"/>
      <c r="Y38" s="67">
        <v>490742</v>
      </c>
      <c r="Z38" s="67"/>
      <c r="AA38" s="67">
        <v>892044</v>
      </c>
      <c r="AB38" s="67"/>
      <c r="AC38" s="68">
        <f t="shared" si="0"/>
        <v>94825862</v>
      </c>
      <c r="AD38" s="68"/>
      <c r="AE38" s="69">
        <f t="shared" si="1"/>
        <v>90227528</v>
      </c>
      <c r="AF38" s="5"/>
      <c r="AG38" s="5"/>
    </row>
    <row r="39" spans="1:33" ht="12">
      <c r="A39" s="15" t="s">
        <v>37</v>
      </c>
      <c r="C39" s="67">
        <v>5188945</v>
      </c>
      <c r="D39" s="67"/>
      <c r="E39" s="67">
        <v>2362621</v>
      </c>
      <c r="F39" s="67"/>
      <c r="G39" s="67">
        <v>3275060</v>
      </c>
      <c r="H39" s="67"/>
      <c r="I39" s="67">
        <v>5259157</v>
      </c>
      <c r="J39" s="67"/>
      <c r="K39" s="67">
        <v>5073329</v>
      </c>
      <c r="L39" s="67"/>
      <c r="M39" s="67">
        <v>11364823</v>
      </c>
      <c r="N39" s="67"/>
      <c r="O39" s="67">
        <v>543733</v>
      </c>
      <c r="P39" s="67"/>
      <c r="Q39" s="67">
        <v>0</v>
      </c>
      <c r="R39" s="67"/>
      <c r="S39" s="67">
        <v>387471</v>
      </c>
      <c r="T39" s="67"/>
      <c r="U39" s="67">
        <v>0</v>
      </c>
      <c r="V39" s="67"/>
      <c r="W39" s="67">
        <v>0</v>
      </c>
      <c r="X39" s="67"/>
      <c r="Y39" s="67">
        <v>1008211</v>
      </c>
      <c r="Z39" s="67"/>
      <c r="AA39" s="67">
        <v>380887</v>
      </c>
      <c r="AB39" s="67"/>
      <c r="AC39" s="68">
        <f t="shared" si="0"/>
        <v>34844237</v>
      </c>
      <c r="AD39" s="68"/>
      <c r="AE39" s="69">
        <f t="shared" si="1"/>
        <v>33455139</v>
      </c>
      <c r="AF39" s="5"/>
      <c r="AG39" s="5"/>
    </row>
    <row r="40" spans="1:33" ht="12">
      <c r="A40" s="15" t="s">
        <v>38</v>
      </c>
      <c r="C40" s="67">
        <v>56465000</v>
      </c>
      <c r="D40" s="67"/>
      <c r="E40" s="67">
        <v>111739000</v>
      </c>
      <c r="F40" s="67"/>
      <c r="G40" s="67">
        <v>89680000</v>
      </c>
      <c r="H40" s="67"/>
      <c r="I40" s="67">
        <v>30426000</v>
      </c>
      <c r="J40" s="67"/>
      <c r="K40" s="67">
        <v>233948000</v>
      </c>
      <c r="L40" s="67"/>
      <c r="M40" s="67">
        <v>316232000</v>
      </c>
      <c r="N40" s="67"/>
      <c r="O40" s="67">
        <v>21008000</v>
      </c>
      <c r="P40" s="67"/>
      <c r="Q40" s="67">
        <v>6828000</v>
      </c>
      <c r="R40" s="67"/>
      <c r="S40" s="67">
        <f>6615000</f>
        <v>6615000</v>
      </c>
      <c r="T40" s="67"/>
      <c r="U40" s="67">
        <v>11010000</v>
      </c>
      <c r="V40" s="67"/>
      <c r="W40" s="67">
        <v>0</v>
      </c>
      <c r="X40" s="67"/>
      <c r="Y40" s="67">
        <v>11540000</v>
      </c>
      <c r="Z40" s="67"/>
      <c r="AA40" s="67">
        <f>8804000+5000</f>
        <v>8809000</v>
      </c>
      <c r="AB40" s="67"/>
      <c r="AC40" s="68">
        <f t="shared" si="0"/>
        <v>904300000</v>
      </c>
      <c r="AD40" s="68"/>
      <c r="AE40" s="69">
        <f t="shared" si="1"/>
        <v>872941000</v>
      </c>
      <c r="AF40" s="5"/>
      <c r="AG40" s="5"/>
    </row>
    <row r="41" spans="1:33" ht="12">
      <c r="A41" s="15" t="s">
        <v>39</v>
      </c>
      <c r="C41" s="67">
        <v>5516962</v>
      </c>
      <c r="D41" s="67"/>
      <c r="E41" s="67">
        <v>2826448</v>
      </c>
      <c r="F41" s="67"/>
      <c r="G41" s="67">
        <v>6255302</v>
      </c>
      <c r="H41" s="67"/>
      <c r="I41" s="67">
        <v>4356176</v>
      </c>
      <c r="J41" s="67"/>
      <c r="K41" s="67">
        <v>12955812</v>
      </c>
      <c r="L41" s="67"/>
      <c r="M41" s="67">
        <v>8067845</v>
      </c>
      <c r="N41" s="67"/>
      <c r="O41" s="67">
        <v>1113052</v>
      </c>
      <c r="P41" s="67"/>
      <c r="Q41" s="67">
        <v>0</v>
      </c>
      <c r="R41" s="67"/>
      <c r="S41" s="67">
        <v>3065983</v>
      </c>
      <c r="T41" s="67"/>
      <c r="U41" s="67">
        <v>2425897</v>
      </c>
      <c r="V41" s="67"/>
      <c r="W41" s="67">
        <v>635895</v>
      </c>
      <c r="X41" s="67"/>
      <c r="Y41" s="67">
        <v>1322725</v>
      </c>
      <c r="Z41" s="67"/>
      <c r="AA41" s="67">
        <v>954533</v>
      </c>
      <c r="AB41" s="67"/>
      <c r="AC41" s="68">
        <f t="shared" si="0"/>
        <v>49496630</v>
      </c>
      <c r="AD41" s="68"/>
      <c r="AE41" s="69">
        <f t="shared" si="1"/>
        <v>44157580</v>
      </c>
      <c r="AF41" s="5"/>
      <c r="AG41" s="5"/>
    </row>
    <row r="42" spans="1:33" ht="12" hidden="1">
      <c r="A42" s="15" t="s">
        <v>170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9"/>
      <c r="AF42" s="5"/>
      <c r="AG42" s="5"/>
    </row>
    <row r="43" spans="1:33" ht="12" hidden="1">
      <c r="A43" s="15" t="s">
        <v>40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68"/>
      <c r="AE43" s="69"/>
      <c r="AF43" s="5"/>
      <c r="AG43" s="5"/>
    </row>
    <row r="44" spans="1:33" ht="12">
      <c r="A44" s="15" t="s">
        <v>41</v>
      </c>
      <c r="C44" s="67">
        <v>1740435</v>
      </c>
      <c r="D44" s="67"/>
      <c r="E44" s="67">
        <v>1008794</v>
      </c>
      <c r="F44" s="67"/>
      <c r="G44" s="67">
        <v>2099036</v>
      </c>
      <c r="H44" s="67"/>
      <c r="I44" s="67">
        <v>3904997</v>
      </c>
      <c r="J44" s="67"/>
      <c r="K44" s="67">
        <v>1619433</v>
      </c>
      <c r="L44" s="67"/>
      <c r="M44" s="67">
        <v>4470609</v>
      </c>
      <c r="N44" s="67"/>
      <c r="O44" s="67">
        <v>894826</v>
      </c>
      <c r="P44" s="67"/>
      <c r="Q44" s="67">
        <v>0</v>
      </c>
      <c r="R44" s="67"/>
      <c r="S44" s="67">
        <f>44+1923328-11071</f>
        <v>1912301</v>
      </c>
      <c r="T44" s="67"/>
      <c r="U44" s="67">
        <v>664156</v>
      </c>
      <c r="V44" s="67"/>
      <c r="W44" s="67">
        <v>0</v>
      </c>
      <c r="X44" s="67"/>
      <c r="Y44" s="67">
        <v>629768</v>
      </c>
      <c r="Z44" s="67"/>
      <c r="AA44" s="67">
        <v>248395</v>
      </c>
      <c r="AB44" s="67"/>
      <c r="AC44" s="68">
        <f t="shared" si="0"/>
        <v>19192750</v>
      </c>
      <c r="AD44" s="68"/>
      <c r="AE44" s="69">
        <f t="shared" si="1"/>
        <v>17650431</v>
      </c>
      <c r="AF44" s="5"/>
      <c r="AG44" s="5"/>
    </row>
    <row r="45" spans="1:33" ht="12" hidden="1">
      <c r="A45" s="15" t="s">
        <v>42</v>
      </c>
      <c r="C45" s="70"/>
      <c r="D45" s="7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8"/>
      <c r="AE45" s="69"/>
      <c r="AF45" s="5"/>
      <c r="AG45" s="5"/>
    </row>
    <row r="46" spans="1:33" ht="12">
      <c r="A46" s="15" t="s">
        <v>43</v>
      </c>
      <c r="C46" s="67">
        <v>2508079</v>
      </c>
      <c r="D46" s="67"/>
      <c r="E46" s="67">
        <v>1353430</v>
      </c>
      <c r="F46" s="67"/>
      <c r="G46" s="67">
        <v>2379021</v>
      </c>
      <c r="H46" s="67"/>
      <c r="I46" s="67">
        <v>2828714</v>
      </c>
      <c r="J46" s="67"/>
      <c r="K46" s="67">
        <v>2818408</v>
      </c>
      <c r="L46" s="67"/>
      <c r="M46" s="67">
        <v>7141877</v>
      </c>
      <c r="N46" s="67"/>
      <c r="O46" s="67">
        <v>173894</v>
      </c>
      <c r="P46" s="67"/>
      <c r="Q46" s="67">
        <v>213179</v>
      </c>
      <c r="R46" s="67"/>
      <c r="S46" s="67">
        <v>464880</v>
      </c>
      <c r="T46" s="67"/>
      <c r="U46" s="67">
        <v>693049</v>
      </c>
      <c r="V46" s="67"/>
      <c r="W46" s="67">
        <v>0</v>
      </c>
      <c r="X46" s="67"/>
      <c r="Y46" s="67">
        <v>191537</v>
      </c>
      <c r="Z46" s="67"/>
      <c r="AA46" s="67">
        <v>746185</v>
      </c>
      <c r="AB46" s="67"/>
      <c r="AC46" s="68">
        <f t="shared" si="0"/>
        <v>21512253</v>
      </c>
      <c r="AD46" s="68"/>
      <c r="AE46" s="69">
        <f t="shared" si="1"/>
        <v>19881482</v>
      </c>
      <c r="AF46" s="5"/>
      <c r="AG46" s="5"/>
    </row>
    <row r="47" spans="1:33" ht="12">
      <c r="A47" s="15" t="s">
        <v>44</v>
      </c>
      <c r="C47" s="67">
        <v>3774518</v>
      </c>
      <c r="D47" s="67"/>
      <c r="E47" s="67">
        <v>1249785</v>
      </c>
      <c r="F47" s="67"/>
      <c r="G47" s="67">
        <v>2993221</v>
      </c>
      <c r="H47" s="67"/>
      <c r="I47" s="67">
        <v>3484923</v>
      </c>
      <c r="J47" s="67"/>
      <c r="K47" s="67">
        <v>142226</v>
      </c>
      <c r="L47" s="67"/>
      <c r="M47" s="67">
        <v>10017667</v>
      </c>
      <c r="N47" s="67"/>
      <c r="O47" s="67">
        <v>0</v>
      </c>
      <c r="P47" s="67"/>
      <c r="Q47" s="67">
        <v>383566</v>
      </c>
      <c r="R47" s="67"/>
      <c r="S47" s="67">
        <v>0</v>
      </c>
      <c r="T47" s="67"/>
      <c r="U47" s="67">
        <v>820433</v>
      </c>
      <c r="V47" s="67"/>
      <c r="W47" s="67">
        <v>221316</v>
      </c>
      <c r="X47" s="67"/>
      <c r="Y47" s="67">
        <v>271000</v>
      </c>
      <c r="Z47" s="67"/>
      <c r="AA47" s="67">
        <v>383089</v>
      </c>
      <c r="AB47" s="67"/>
      <c r="AC47" s="68">
        <f t="shared" si="0"/>
        <v>23741744</v>
      </c>
      <c r="AD47" s="68"/>
      <c r="AE47" s="69">
        <f t="shared" si="1"/>
        <v>22045906</v>
      </c>
      <c r="AF47" s="5"/>
      <c r="AG47" s="5"/>
    </row>
    <row r="48" spans="1:33" ht="12">
      <c r="A48" s="15" t="s">
        <v>45</v>
      </c>
      <c r="C48" s="67">
        <v>5551086</v>
      </c>
      <c r="D48" s="67"/>
      <c r="E48" s="67">
        <v>2034151</v>
      </c>
      <c r="F48" s="67"/>
      <c r="G48" s="67">
        <v>4938508</v>
      </c>
      <c r="H48" s="67"/>
      <c r="I48" s="67">
        <v>4629219</v>
      </c>
      <c r="J48" s="67"/>
      <c r="K48" s="67">
        <v>6866408</v>
      </c>
      <c r="L48" s="67"/>
      <c r="M48" s="67">
        <f>12376654-63396</f>
        <v>12313258</v>
      </c>
      <c r="N48" s="67"/>
      <c r="O48" s="67">
        <v>0</v>
      </c>
      <c r="P48" s="67"/>
      <c r="Q48" s="67">
        <v>56124</v>
      </c>
      <c r="R48" s="67"/>
      <c r="S48" s="67">
        <f>436125-49696</f>
        <v>386429</v>
      </c>
      <c r="T48" s="67"/>
      <c r="U48" s="67">
        <v>507714</v>
      </c>
      <c r="V48" s="67"/>
      <c r="W48" s="67">
        <v>0</v>
      </c>
      <c r="X48" s="67"/>
      <c r="Y48" s="67">
        <v>295000</v>
      </c>
      <c r="Z48" s="67"/>
      <c r="AA48" s="67">
        <v>778091</v>
      </c>
      <c r="AB48" s="67"/>
      <c r="AC48" s="68">
        <f t="shared" si="0"/>
        <v>38355988</v>
      </c>
      <c r="AD48" s="68"/>
      <c r="AE48" s="69">
        <f t="shared" si="1"/>
        <v>36775183</v>
      </c>
      <c r="AF48" s="5"/>
      <c r="AG48" s="5"/>
    </row>
    <row r="49" spans="1:33" ht="12">
      <c r="A49" s="15" t="s">
        <v>46</v>
      </c>
      <c r="C49" s="67">
        <v>3119748</v>
      </c>
      <c r="D49" s="67"/>
      <c r="E49" s="67">
        <v>1210091</v>
      </c>
      <c r="F49" s="67"/>
      <c r="G49" s="67">
        <v>3317410</v>
      </c>
      <c r="H49" s="67"/>
      <c r="I49" s="67">
        <v>3135179</v>
      </c>
      <c r="J49" s="67"/>
      <c r="K49" s="67">
        <v>1538128</v>
      </c>
      <c r="L49" s="67"/>
      <c r="M49" s="67">
        <f>8031383-20001</f>
        <v>8011382</v>
      </c>
      <c r="N49" s="67"/>
      <c r="O49" s="67">
        <v>354756</v>
      </c>
      <c r="P49" s="67"/>
      <c r="Q49" s="67">
        <v>13250</v>
      </c>
      <c r="R49" s="67"/>
      <c r="S49" s="67">
        <f>87370-4752</f>
        <v>82618</v>
      </c>
      <c r="T49" s="67"/>
      <c r="U49" s="67">
        <v>1037085</v>
      </c>
      <c r="V49" s="67"/>
      <c r="W49" s="67">
        <v>0</v>
      </c>
      <c r="X49" s="67"/>
      <c r="Y49" s="67">
        <v>104956</v>
      </c>
      <c r="Z49" s="67"/>
      <c r="AA49" s="67">
        <v>113591</v>
      </c>
      <c r="AB49" s="67"/>
      <c r="AC49" s="68">
        <f t="shared" si="0"/>
        <v>22038194</v>
      </c>
      <c r="AD49" s="68"/>
      <c r="AE49" s="69">
        <f t="shared" si="1"/>
        <v>20782562</v>
      </c>
      <c r="AF49" s="5"/>
      <c r="AG49" s="5"/>
    </row>
    <row r="50" spans="1:33" ht="12">
      <c r="A50" s="15" t="s">
        <v>47</v>
      </c>
      <c r="C50" s="67">
        <v>6091307</v>
      </c>
      <c r="D50" s="67"/>
      <c r="E50" s="67">
        <v>3525338</v>
      </c>
      <c r="F50" s="67"/>
      <c r="G50" s="67">
        <v>8833801</v>
      </c>
      <c r="H50" s="67"/>
      <c r="I50" s="67">
        <v>7208011</v>
      </c>
      <c r="J50" s="67"/>
      <c r="K50" s="67">
        <v>15373084</v>
      </c>
      <c r="L50" s="67"/>
      <c r="M50" s="67">
        <v>19071221</v>
      </c>
      <c r="N50" s="67"/>
      <c r="O50" s="67">
        <v>1298751</v>
      </c>
      <c r="P50" s="67"/>
      <c r="Q50" s="67">
        <v>0</v>
      </c>
      <c r="R50" s="67"/>
      <c r="S50" s="67">
        <v>554594</v>
      </c>
      <c r="T50" s="67"/>
      <c r="U50" s="67">
        <v>299098</v>
      </c>
      <c r="V50" s="67"/>
      <c r="W50" s="67">
        <v>40500</v>
      </c>
      <c r="X50" s="67"/>
      <c r="Y50" s="67">
        <v>1970066</v>
      </c>
      <c r="Z50" s="67"/>
      <c r="AA50" s="67">
        <v>1581808</v>
      </c>
      <c r="AB50" s="67"/>
      <c r="AC50" s="68">
        <f t="shared" si="0"/>
        <v>65847579</v>
      </c>
      <c r="AD50" s="68"/>
      <c r="AE50" s="69">
        <f t="shared" si="1"/>
        <v>61956107</v>
      </c>
      <c r="AF50" s="5"/>
      <c r="AG50" s="5"/>
    </row>
    <row r="51" spans="1:33" ht="12">
      <c r="A51" s="15" t="s">
        <v>48</v>
      </c>
      <c r="B51" s="24"/>
      <c r="C51" s="67">
        <v>5028221</v>
      </c>
      <c r="D51" s="67"/>
      <c r="E51" s="67">
        <v>1751198</v>
      </c>
      <c r="F51" s="67"/>
      <c r="G51" s="67">
        <v>4707732</v>
      </c>
      <c r="H51" s="67"/>
      <c r="I51" s="67">
        <v>3976355</v>
      </c>
      <c r="J51" s="67"/>
      <c r="K51" s="67">
        <v>315828</v>
      </c>
      <c r="L51" s="67"/>
      <c r="M51" s="67">
        <v>12088490</v>
      </c>
      <c r="N51" s="67"/>
      <c r="O51" s="67">
        <v>0</v>
      </c>
      <c r="P51" s="67"/>
      <c r="Q51" s="67">
        <v>2000</v>
      </c>
      <c r="R51" s="67"/>
      <c r="S51" s="67">
        <v>1396</v>
      </c>
      <c r="T51" s="67"/>
      <c r="U51" s="67">
        <v>5902503</v>
      </c>
      <c r="V51" s="67"/>
      <c r="W51" s="67">
        <v>0</v>
      </c>
      <c r="X51" s="67"/>
      <c r="Y51" s="67">
        <v>712870</v>
      </c>
      <c r="Z51" s="67"/>
      <c r="AA51" s="67">
        <v>709687</v>
      </c>
      <c r="AB51" s="67"/>
      <c r="AC51" s="68">
        <f t="shared" si="0"/>
        <v>35196280</v>
      </c>
      <c r="AD51" s="68"/>
      <c r="AE51" s="69">
        <f t="shared" si="1"/>
        <v>27871220</v>
      </c>
      <c r="AF51" s="5"/>
      <c r="AG51" s="5"/>
    </row>
    <row r="52" spans="1:33" ht="12">
      <c r="A52" s="15" t="s">
        <v>49</v>
      </c>
      <c r="C52" s="67">
        <v>14121010</v>
      </c>
      <c r="D52" s="67"/>
      <c r="E52" s="67">
        <v>35262558</v>
      </c>
      <c r="F52" s="67"/>
      <c r="G52" s="67">
        <v>0</v>
      </c>
      <c r="H52" s="67"/>
      <c r="I52" s="67">
        <v>12645411</v>
      </c>
      <c r="J52" s="67"/>
      <c r="K52" s="67">
        <v>18417968</v>
      </c>
      <c r="L52" s="67"/>
      <c r="M52" s="67">
        <v>59911328</v>
      </c>
      <c r="N52" s="67"/>
      <c r="O52" s="67">
        <v>2904904</v>
      </c>
      <c r="P52" s="67"/>
      <c r="Q52" s="67">
        <v>0</v>
      </c>
      <c r="R52" s="67"/>
      <c r="S52" s="67">
        <v>0</v>
      </c>
      <c r="T52" s="67"/>
      <c r="U52" s="67">
        <v>7807749</v>
      </c>
      <c r="V52" s="67"/>
      <c r="W52" s="67">
        <v>0</v>
      </c>
      <c r="X52" s="67"/>
      <c r="Y52" s="67">
        <v>2602850</v>
      </c>
      <c r="Z52" s="67"/>
      <c r="AA52" s="67">
        <v>1482319</v>
      </c>
      <c r="AB52" s="67"/>
      <c r="AC52" s="68">
        <f t="shared" si="0"/>
        <v>155156097</v>
      </c>
      <c r="AD52" s="68"/>
      <c r="AE52" s="69">
        <f t="shared" si="1"/>
        <v>143263179</v>
      </c>
      <c r="AF52" s="5"/>
      <c r="AG52" s="5"/>
    </row>
    <row r="53" spans="1:33" ht="12" hidden="1">
      <c r="A53" s="15" t="s">
        <v>171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8"/>
      <c r="AD53" s="68"/>
      <c r="AE53" s="69"/>
      <c r="AF53" s="5"/>
      <c r="AG53" s="5"/>
    </row>
    <row r="54" spans="1:33" ht="12">
      <c r="A54" s="15" t="s">
        <v>50</v>
      </c>
      <c r="C54" s="67">
        <v>17023098</v>
      </c>
      <c r="D54" s="67"/>
      <c r="E54" s="67">
        <v>0</v>
      </c>
      <c r="F54" s="67"/>
      <c r="G54" s="67">
        <v>16246922</v>
      </c>
      <c r="H54" s="67"/>
      <c r="I54" s="67">
        <v>6039746</v>
      </c>
      <c r="J54" s="67"/>
      <c r="K54" s="67">
        <v>495602</v>
      </c>
      <c r="L54" s="67"/>
      <c r="M54" s="67">
        <f>34806625-21909</f>
        <v>34784716</v>
      </c>
      <c r="N54" s="67"/>
      <c r="O54" s="67">
        <v>1514096</v>
      </c>
      <c r="P54" s="67"/>
      <c r="Q54" s="67">
        <v>0</v>
      </c>
      <c r="R54" s="67"/>
      <c r="S54" s="67">
        <v>0</v>
      </c>
      <c r="T54" s="67"/>
      <c r="U54" s="67">
        <v>2248894</v>
      </c>
      <c r="V54" s="67"/>
      <c r="W54" s="67">
        <v>2692692</v>
      </c>
      <c r="X54" s="67"/>
      <c r="Y54" s="67">
        <v>844796</v>
      </c>
      <c r="Z54" s="67"/>
      <c r="AA54" s="67">
        <v>888621</v>
      </c>
      <c r="AB54" s="67"/>
      <c r="AC54" s="68">
        <f t="shared" si="0"/>
        <v>82779183</v>
      </c>
      <c r="AD54" s="68"/>
      <c r="AE54" s="69">
        <f t="shared" si="1"/>
        <v>76104180</v>
      </c>
      <c r="AF54" s="5"/>
      <c r="AG54" s="5"/>
    </row>
    <row r="55" spans="1:33" ht="12">
      <c r="A55" s="15" t="s">
        <v>51</v>
      </c>
      <c r="C55" s="67">
        <v>2471500</v>
      </c>
      <c r="D55" s="67"/>
      <c r="E55" s="67">
        <v>2455654</v>
      </c>
      <c r="F55" s="67"/>
      <c r="G55" s="67">
        <v>6791239</v>
      </c>
      <c r="H55" s="67"/>
      <c r="I55" s="67">
        <v>5778566</v>
      </c>
      <c r="J55" s="67"/>
      <c r="K55" s="67">
        <v>692197</v>
      </c>
      <c r="L55" s="67"/>
      <c r="M55" s="67">
        <v>11285734</v>
      </c>
      <c r="N55" s="67"/>
      <c r="O55" s="67">
        <v>299225</v>
      </c>
      <c r="P55" s="67"/>
      <c r="Q55" s="67">
        <v>483778</v>
      </c>
      <c r="R55" s="67"/>
      <c r="S55" s="67">
        <f>12450+1204186-7792</f>
        <v>1208844</v>
      </c>
      <c r="T55" s="67"/>
      <c r="U55" s="67">
        <v>3205736</v>
      </c>
      <c r="V55" s="67"/>
      <c r="W55" s="67">
        <v>0</v>
      </c>
      <c r="X55" s="67"/>
      <c r="Y55" s="67">
        <v>117296</v>
      </c>
      <c r="Z55" s="67"/>
      <c r="AA55" s="67">
        <v>428093</v>
      </c>
      <c r="AB55" s="67"/>
      <c r="AC55" s="68">
        <f t="shared" si="0"/>
        <v>35217862</v>
      </c>
      <c r="AD55" s="68"/>
      <c r="AE55" s="69">
        <f t="shared" si="1"/>
        <v>31466737</v>
      </c>
      <c r="AF55" s="5"/>
      <c r="AG55" s="5"/>
    </row>
    <row r="56" spans="1:33" ht="12">
      <c r="A56" s="15" t="s">
        <v>52</v>
      </c>
      <c r="C56" s="67">
        <v>26943508</v>
      </c>
      <c r="D56" s="67"/>
      <c r="E56" s="67">
        <v>14966170</v>
      </c>
      <c r="F56" s="67"/>
      <c r="G56" s="67">
        <v>20292521</v>
      </c>
      <c r="H56" s="67"/>
      <c r="I56" s="67">
        <v>8256648</v>
      </c>
      <c r="J56" s="67"/>
      <c r="K56" s="67">
        <v>42196306</v>
      </c>
      <c r="L56" s="67"/>
      <c r="M56" s="67">
        <v>71648729</v>
      </c>
      <c r="N56" s="67"/>
      <c r="O56" s="67">
        <v>820124</v>
      </c>
      <c r="P56" s="67"/>
      <c r="Q56" s="67">
        <v>0</v>
      </c>
      <c r="R56" s="67"/>
      <c r="S56" s="67">
        <f>189</f>
        <v>189</v>
      </c>
      <c r="T56" s="67"/>
      <c r="U56" s="67">
        <v>13528478</v>
      </c>
      <c r="V56" s="67"/>
      <c r="W56" s="67">
        <v>560915</v>
      </c>
      <c r="X56" s="67"/>
      <c r="Y56" s="67">
        <v>6811410</v>
      </c>
      <c r="Z56" s="67"/>
      <c r="AA56" s="67">
        <v>2368251</v>
      </c>
      <c r="AB56" s="67"/>
      <c r="AC56" s="68">
        <f t="shared" si="0"/>
        <v>208393249</v>
      </c>
      <c r="AD56" s="68"/>
      <c r="AE56" s="69">
        <f t="shared" si="1"/>
        <v>185124195</v>
      </c>
      <c r="AF56" s="5"/>
      <c r="AG56" s="5"/>
    </row>
    <row r="57" spans="1:33" ht="12">
      <c r="A57" s="15" t="s">
        <v>196</v>
      </c>
      <c r="C57" s="67">
        <v>36299000</v>
      </c>
      <c r="D57" s="67"/>
      <c r="E57" s="67">
        <v>53891000</v>
      </c>
      <c r="F57" s="67"/>
      <c r="G57" s="67">
        <v>58201000</v>
      </c>
      <c r="H57" s="67"/>
      <c r="I57" s="67">
        <v>13337000</v>
      </c>
      <c r="J57" s="67"/>
      <c r="K57" s="67">
        <v>92448000</v>
      </c>
      <c r="L57" s="67"/>
      <c r="M57" s="67">
        <v>112106000</v>
      </c>
      <c r="N57" s="67"/>
      <c r="O57" s="67">
        <v>0</v>
      </c>
      <c r="P57" s="67"/>
      <c r="Q57" s="67">
        <v>6002000</v>
      </c>
      <c r="R57" s="67"/>
      <c r="S57" s="67">
        <v>15947000</v>
      </c>
      <c r="T57" s="67"/>
      <c r="U57" s="67">
        <v>32022000</v>
      </c>
      <c r="V57" s="67"/>
      <c r="W57" s="5">
        <v>0</v>
      </c>
      <c r="X57" s="5"/>
      <c r="Y57" s="67">
        <v>11980000</v>
      </c>
      <c r="Z57" s="67"/>
      <c r="AA57" s="67">
        <v>6809000</v>
      </c>
      <c r="AB57" s="67"/>
      <c r="AC57" s="68">
        <f t="shared" si="0"/>
        <v>439042000</v>
      </c>
      <c r="AD57" s="68"/>
      <c r="AE57" s="69">
        <f t="shared" si="1"/>
        <v>388231000</v>
      </c>
      <c r="AF57" s="5"/>
      <c r="AG57" s="5"/>
    </row>
    <row r="58" spans="1:33" ht="12" hidden="1">
      <c r="A58" s="15" t="s">
        <v>53</v>
      </c>
      <c r="C58" s="70"/>
      <c r="D58" s="70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8"/>
      <c r="AD58" s="68"/>
      <c r="AE58" s="69"/>
      <c r="AF58" s="5"/>
      <c r="AG58" s="5"/>
    </row>
    <row r="59" spans="1:33" ht="12">
      <c r="A59" s="15" t="s">
        <v>54</v>
      </c>
      <c r="C59" s="67">
        <v>14764914</v>
      </c>
      <c r="D59" s="67"/>
      <c r="E59" s="67">
        <v>15037929</v>
      </c>
      <c r="F59" s="67"/>
      <c r="G59" s="67">
        <v>23641635</v>
      </c>
      <c r="H59" s="67"/>
      <c r="I59" s="67">
        <v>9095887</v>
      </c>
      <c r="J59" s="67"/>
      <c r="K59" s="67">
        <v>45364856</v>
      </c>
      <c r="L59" s="67"/>
      <c r="M59" s="67">
        <v>55894229</v>
      </c>
      <c r="N59" s="67"/>
      <c r="O59" s="67">
        <v>0</v>
      </c>
      <c r="P59" s="67"/>
      <c r="Q59" s="67">
        <v>0</v>
      </c>
      <c r="R59" s="67"/>
      <c r="S59" s="67">
        <v>4241556</v>
      </c>
      <c r="T59" s="67"/>
      <c r="U59" s="67">
        <v>9941390</v>
      </c>
      <c r="V59" s="67"/>
      <c r="W59" s="67">
        <v>0</v>
      </c>
      <c r="X59" s="67"/>
      <c r="Y59" s="67">
        <v>5149361</v>
      </c>
      <c r="Z59" s="67"/>
      <c r="AA59" s="67">
        <v>2281357</v>
      </c>
      <c r="AB59" s="67"/>
      <c r="AC59" s="68">
        <f t="shared" si="0"/>
        <v>185413114</v>
      </c>
      <c r="AD59" s="68"/>
      <c r="AE59" s="69">
        <f t="shared" si="1"/>
        <v>168041006</v>
      </c>
      <c r="AF59" s="5"/>
      <c r="AG59" s="5"/>
    </row>
    <row r="60" spans="1:33" ht="12">
      <c r="A60" s="15" t="s">
        <v>55</v>
      </c>
      <c r="C60" s="67">
        <v>5433049</v>
      </c>
      <c r="D60" s="67"/>
      <c r="E60" s="67">
        <v>1766831</v>
      </c>
      <c r="F60" s="67"/>
      <c r="G60" s="67">
        <v>9019495</v>
      </c>
      <c r="H60" s="67"/>
      <c r="I60" s="67">
        <v>4061097</v>
      </c>
      <c r="J60" s="67"/>
      <c r="K60" s="67">
        <v>6428271</v>
      </c>
      <c r="L60" s="67"/>
      <c r="M60" s="67">
        <f>12073702-1110</f>
        <v>12072592</v>
      </c>
      <c r="N60" s="67"/>
      <c r="O60" s="67">
        <v>0</v>
      </c>
      <c r="P60" s="67"/>
      <c r="Q60" s="67">
        <v>16920</v>
      </c>
      <c r="R60" s="67"/>
      <c r="S60" s="67">
        <f>607475-27396</f>
        <v>580079</v>
      </c>
      <c r="T60" s="67"/>
      <c r="U60" s="67">
        <v>2594791</v>
      </c>
      <c r="V60" s="67"/>
      <c r="W60" s="67">
        <v>930268</v>
      </c>
      <c r="X60" s="67"/>
      <c r="Y60" s="67">
        <v>365326</v>
      </c>
      <c r="Z60" s="67"/>
      <c r="AA60" s="67">
        <v>592874</v>
      </c>
      <c r="AB60" s="67"/>
      <c r="AC60" s="68">
        <f t="shared" si="0"/>
        <v>43861593</v>
      </c>
      <c r="AD60" s="68"/>
      <c r="AE60" s="69">
        <f t="shared" si="1"/>
        <v>39378334</v>
      </c>
      <c r="AF60" s="5"/>
      <c r="AG60" s="5"/>
    </row>
    <row r="61" spans="1:33" ht="12">
      <c r="A61" s="15" t="s">
        <v>56</v>
      </c>
      <c r="C61" s="67">
        <v>11048286</v>
      </c>
      <c r="D61" s="67"/>
      <c r="E61" s="67">
        <v>7642905</v>
      </c>
      <c r="F61" s="67"/>
      <c r="G61" s="67">
        <v>16349189</v>
      </c>
      <c r="H61" s="67"/>
      <c r="I61" s="67">
        <v>6670167</v>
      </c>
      <c r="J61" s="67"/>
      <c r="K61" s="67">
        <v>20182926</v>
      </c>
      <c r="L61" s="67"/>
      <c r="M61" s="67">
        <v>15307415</v>
      </c>
      <c r="N61" s="67"/>
      <c r="O61" s="67">
        <v>308100</v>
      </c>
      <c r="P61" s="67"/>
      <c r="Q61" s="67">
        <v>0</v>
      </c>
      <c r="R61" s="67"/>
      <c r="S61" s="67">
        <v>45500</v>
      </c>
      <c r="T61" s="67"/>
      <c r="U61" s="67">
        <v>4229778</v>
      </c>
      <c r="V61" s="67"/>
      <c r="W61" s="67">
        <v>3012765</v>
      </c>
      <c r="X61" s="67"/>
      <c r="Y61" s="67">
        <v>2097953</v>
      </c>
      <c r="Z61" s="67"/>
      <c r="AA61" s="67">
        <v>1200252</v>
      </c>
      <c r="AB61" s="67"/>
      <c r="AC61" s="68">
        <f t="shared" si="0"/>
        <v>88095236</v>
      </c>
      <c r="AD61" s="68"/>
      <c r="AE61" s="69">
        <f t="shared" si="1"/>
        <v>77554488</v>
      </c>
      <c r="AF61" s="5"/>
      <c r="AG61" s="5"/>
    </row>
    <row r="62" spans="1:33" ht="12" hidden="1">
      <c r="A62" s="15" t="s">
        <v>173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8"/>
      <c r="AD62" s="68"/>
      <c r="AE62" s="69"/>
      <c r="AF62" s="5"/>
      <c r="AG62" s="5"/>
    </row>
    <row r="63" spans="1:33" ht="12" hidden="1">
      <c r="A63" s="15" t="s">
        <v>57</v>
      </c>
      <c r="C63" s="70"/>
      <c r="D63" s="70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8"/>
      <c r="AD63" s="68"/>
      <c r="AE63" s="69"/>
      <c r="AF63" s="5"/>
      <c r="AG63" s="5"/>
    </row>
    <row r="64" spans="1:33" ht="12">
      <c r="A64" s="15" t="s">
        <v>58</v>
      </c>
      <c r="C64" s="67">
        <f>12758082-57238</f>
        <v>12700844</v>
      </c>
      <c r="D64" s="67"/>
      <c r="E64" s="67">
        <v>0</v>
      </c>
      <c r="F64" s="67"/>
      <c r="G64" s="67">
        <f>15722849</f>
        <v>15722849</v>
      </c>
      <c r="H64" s="67"/>
      <c r="I64" s="67">
        <f>6443600</f>
        <v>6443600</v>
      </c>
      <c r="J64" s="67"/>
      <c r="K64" s="67">
        <f>9302110</f>
        <v>9302110</v>
      </c>
      <c r="L64" s="67"/>
      <c r="M64" s="67">
        <f>12640102-1342</f>
        <v>12638760</v>
      </c>
      <c r="N64" s="67"/>
      <c r="O64" s="67">
        <v>0</v>
      </c>
      <c r="P64" s="67"/>
      <c r="Q64" s="67">
        <f>355069</f>
        <v>355069</v>
      </c>
      <c r="R64" s="67"/>
      <c r="S64" s="67">
        <v>0</v>
      </c>
      <c r="T64" s="67"/>
      <c r="U64" s="67">
        <v>1478081</v>
      </c>
      <c r="V64" s="67"/>
      <c r="W64" s="67">
        <v>0</v>
      </c>
      <c r="X64" s="67"/>
      <c r="Y64" s="67">
        <v>290409</v>
      </c>
      <c r="Z64" s="67"/>
      <c r="AA64" s="67">
        <v>289177</v>
      </c>
      <c r="AB64" s="67"/>
      <c r="AC64" s="68">
        <f t="shared" si="0"/>
        <v>59220899</v>
      </c>
      <c r="AD64" s="68"/>
      <c r="AE64" s="69">
        <f t="shared" si="1"/>
        <v>57163232</v>
      </c>
      <c r="AF64" s="5"/>
      <c r="AG64" s="5"/>
    </row>
    <row r="65" spans="1:33" ht="12" hidden="1">
      <c r="A65" s="15" t="s">
        <v>59</v>
      </c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8">
        <f t="shared" si="0"/>
        <v>0</v>
      </c>
      <c r="AD65" s="68"/>
      <c r="AE65" s="69">
        <f t="shared" si="1"/>
        <v>0</v>
      </c>
      <c r="AF65" s="5"/>
      <c r="AG65" s="5"/>
    </row>
    <row r="66" spans="1:33" ht="12">
      <c r="A66" s="15" t="s">
        <v>60</v>
      </c>
      <c r="C66" s="67">
        <v>28287431</v>
      </c>
      <c r="D66" s="67"/>
      <c r="E66" s="67">
        <v>129355357</v>
      </c>
      <c r="F66" s="67"/>
      <c r="G66" s="67">
        <v>0</v>
      </c>
      <c r="H66" s="67"/>
      <c r="I66" s="67">
        <v>17664079</v>
      </c>
      <c r="J66" s="67"/>
      <c r="K66" s="67">
        <v>0</v>
      </c>
      <c r="L66" s="67"/>
      <c r="M66" s="67">
        <v>232922151</v>
      </c>
      <c r="N66" s="67"/>
      <c r="O66" s="67">
        <v>19726771</v>
      </c>
      <c r="P66" s="67"/>
      <c r="Q66" s="67">
        <v>0</v>
      </c>
      <c r="R66" s="67"/>
      <c r="S66" s="67">
        <v>0</v>
      </c>
      <c r="T66" s="67"/>
      <c r="U66" s="67">
        <v>26925145</v>
      </c>
      <c r="V66" s="67"/>
      <c r="W66" s="67">
        <f>73920+11875178+6046679+232744</f>
        <v>18228521</v>
      </c>
      <c r="X66" s="67"/>
      <c r="Y66" s="67">
        <v>3380257</v>
      </c>
      <c r="Z66" s="67"/>
      <c r="AA66" s="67">
        <v>2373116</v>
      </c>
      <c r="AB66" s="67"/>
      <c r="AC66" s="68">
        <f t="shared" si="0"/>
        <v>478862828</v>
      </c>
      <c r="AD66" s="68"/>
      <c r="AE66" s="69">
        <f t="shared" si="1"/>
        <v>427955789</v>
      </c>
      <c r="AF66" s="5"/>
      <c r="AG66" s="5"/>
    </row>
    <row r="67" spans="1:33" ht="12" hidden="1">
      <c r="A67" s="15" t="s">
        <v>61</v>
      </c>
      <c r="C67" s="70"/>
      <c r="D67" s="70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8"/>
      <c r="AD67" s="68"/>
      <c r="AE67" s="69"/>
      <c r="AF67" s="5"/>
      <c r="AG67" s="5"/>
    </row>
    <row r="68" spans="1:33" ht="12">
      <c r="A68" s="15" t="s">
        <v>100</v>
      </c>
      <c r="C68" s="67">
        <v>3437033</v>
      </c>
      <c r="D68" s="67"/>
      <c r="E68" s="67">
        <v>1050968</v>
      </c>
      <c r="F68" s="67"/>
      <c r="G68" s="67">
        <v>4415580</v>
      </c>
      <c r="H68" s="67"/>
      <c r="I68" s="67">
        <v>2819670</v>
      </c>
      <c r="J68" s="67"/>
      <c r="K68" s="67">
        <v>3521112</v>
      </c>
      <c r="L68" s="67"/>
      <c r="M68" s="67">
        <v>6510584</v>
      </c>
      <c r="N68" s="67"/>
      <c r="O68" s="67">
        <v>59950</v>
      </c>
      <c r="P68" s="67"/>
      <c r="Q68" s="67">
        <v>0</v>
      </c>
      <c r="R68" s="67"/>
      <c r="S68" s="67">
        <f>678411-71372</f>
        <v>607039</v>
      </c>
      <c r="T68" s="67"/>
      <c r="U68" s="67">
        <v>1119059</v>
      </c>
      <c r="V68" s="67"/>
      <c r="W68" s="67">
        <v>373083</v>
      </c>
      <c r="X68" s="67"/>
      <c r="Y68" s="67">
        <v>532104</v>
      </c>
      <c r="Z68" s="67"/>
      <c r="AA68" s="67">
        <v>200918</v>
      </c>
      <c r="AB68" s="67"/>
      <c r="AC68" s="68">
        <f t="shared" si="0"/>
        <v>24647100</v>
      </c>
      <c r="AD68" s="68"/>
      <c r="AE68" s="69">
        <f t="shared" si="1"/>
        <v>22421936</v>
      </c>
      <c r="AF68" s="5"/>
      <c r="AG68" s="5"/>
    </row>
    <row r="69" spans="1:33" ht="12">
      <c r="A69" s="15" t="s">
        <v>63</v>
      </c>
      <c r="C69" s="5">
        <v>10222311</v>
      </c>
      <c r="D69" s="5"/>
      <c r="E69" s="5">
        <v>4710982</v>
      </c>
      <c r="F69" s="5"/>
      <c r="G69" s="5">
        <v>7448024</v>
      </c>
      <c r="H69" s="5"/>
      <c r="I69" s="5">
        <v>6448298</v>
      </c>
      <c r="J69" s="5"/>
      <c r="K69" s="5">
        <v>1086797</v>
      </c>
      <c r="L69" s="5"/>
      <c r="M69" s="5">
        <f>33476900-2200</f>
        <v>33474700</v>
      </c>
      <c r="N69" s="5"/>
      <c r="O69" s="5">
        <v>0</v>
      </c>
      <c r="P69" s="5"/>
      <c r="Q69" s="5">
        <v>0</v>
      </c>
      <c r="R69" s="5"/>
      <c r="S69" s="5">
        <v>4000</v>
      </c>
      <c r="T69" s="5"/>
      <c r="U69" s="5">
        <v>3820691</v>
      </c>
      <c r="V69" s="5"/>
      <c r="W69" s="5">
        <v>1662730</v>
      </c>
      <c r="X69" s="5"/>
      <c r="Y69" s="5">
        <v>1081299</v>
      </c>
      <c r="Z69" s="5"/>
      <c r="AA69" s="5">
        <v>1060719</v>
      </c>
      <c r="AB69" s="5"/>
      <c r="AC69" s="68">
        <f t="shared" si="0"/>
        <v>71020551</v>
      </c>
      <c r="AD69" s="68"/>
      <c r="AE69" s="69">
        <f t="shared" si="1"/>
        <v>63395112</v>
      </c>
      <c r="AF69" s="5"/>
      <c r="AG69" s="5"/>
    </row>
    <row r="70" spans="1:33" ht="12">
      <c r="A70" s="15" t="s">
        <v>64</v>
      </c>
      <c r="C70" s="67">
        <v>1626784</v>
      </c>
      <c r="D70" s="67"/>
      <c r="E70" s="67">
        <v>410108</v>
      </c>
      <c r="F70" s="67"/>
      <c r="G70" s="67">
        <v>1603471</v>
      </c>
      <c r="H70" s="67"/>
      <c r="I70" s="67">
        <v>2798245</v>
      </c>
      <c r="J70" s="67"/>
      <c r="K70" s="67">
        <v>752386</v>
      </c>
      <c r="L70" s="67"/>
      <c r="M70" s="67">
        <v>3554320</v>
      </c>
      <c r="N70" s="67"/>
      <c r="O70" s="67">
        <v>288834</v>
      </c>
      <c r="P70" s="67"/>
      <c r="Q70" s="67">
        <v>0</v>
      </c>
      <c r="R70" s="67"/>
      <c r="S70" s="67">
        <f>127273+59129</f>
        <v>186402</v>
      </c>
      <c r="T70" s="67"/>
      <c r="U70" s="67">
        <v>269744</v>
      </c>
      <c r="V70" s="67"/>
      <c r="W70" s="67">
        <v>336811</v>
      </c>
      <c r="X70" s="67"/>
      <c r="Y70" s="67">
        <v>100000</v>
      </c>
      <c r="Z70" s="67"/>
      <c r="AA70" s="67">
        <v>76630</v>
      </c>
      <c r="AB70" s="67"/>
      <c r="AC70" s="68">
        <f t="shared" si="0"/>
        <v>12003735</v>
      </c>
      <c r="AD70" s="68"/>
      <c r="AE70" s="69">
        <f t="shared" si="1"/>
        <v>11220550</v>
      </c>
      <c r="AF70" s="5"/>
      <c r="AG70" s="5"/>
    </row>
    <row r="71" spans="1:33" ht="12">
      <c r="A71" s="15" t="s">
        <v>65</v>
      </c>
      <c r="C71" s="70">
        <v>4927062</v>
      </c>
      <c r="D71" s="70"/>
      <c r="E71" s="67">
        <v>2224131</v>
      </c>
      <c r="F71" s="67"/>
      <c r="G71" s="67">
        <v>5736177</v>
      </c>
      <c r="H71" s="67"/>
      <c r="I71" s="67">
        <v>4270387</v>
      </c>
      <c r="J71" s="67"/>
      <c r="K71" s="67">
        <v>480639</v>
      </c>
      <c r="L71" s="67"/>
      <c r="M71" s="67">
        <v>10978022</v>
      </c>
      <c r="N71" s="67"/>
      <c r="O71" s="67">
        <v>1922</v>
      </c>
      <c r="P71" s="67"/>
      <c r="Q71" s="67">
        <v>72202</v>
      </c>
      <c r="R71" s="67"/>
      <c r="S71" s="67">
        <v>232870</v>
      </c>
      <c r="T71" s="67"/>
      <c r="U71" s="67">
        <v>1997219</v>
      </c>
      <c r="V71" s="67"/>
      <c r="W71" s="67">
        <v>0</v>
      </c>
      <c r="X71" s="67"/>
      <c r="Y71" s="67">
        <v>3207638</v>
      </c>
      <c r="Z71" s="67"/>
      <c r="AA71" s="67">
        <v>1383296</v>
      </c>
      <c r="AB71" s="67"/>
      <c r="AC71" s="68">
        <f t="shared" si="0"/>
        <v>35511565</v>
      </c>
      <c r="AD71" s="68"/>
      <c r="AE71" s="69">
        <f t="shared" si="1"/>
        <v>28923412</v>
      </c>
      <c r="AF71" s="5"/>
      <c r="AG71" s="5"/>
    </row>
    <row r="72" spans="1:33" ht="12" hidden="1">
      <c r="A72" s="15" t="s">
        <v>134</v>
      </c>
      <c r="C72" s="70"/>
      <c r="D72" s="70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8"/>
      <c r="AD72" s="68"/>
      <c r="AE72" s="69"/>
      <c r="AF72" s="5"/>
      <c r="AG72" s="5"/>
    </row>
    <row r="73" spans="1:33" ht="12" hidden="1">
      <c r="A73" s="15" t="s">
        <v>66</v>
      </c>
      <c r="C73" s="70"/>
      <c r="D73" s="70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68"/>
      <c r="AE73" s="69"/>
      <c r="AF73" s="5"/>
      <c r="AG73" s="5"/>
    </row>
    <row r="74" spans="1:33" ht="12">
      <c r="A74" s="15" t="s">
        <v>67</v>
      </c>
      <c r="C74" s="67">
        <v>3681331</v>
      </c>
      <c r="D74" s="67"/>
      <c r="E74" s="67">
        <v>1513382</v>
      </c>
      <c r="F74" s="67"/>
      <c r="G74" s="67">
        <v>4618327</v>
      </c>
      <c r="H74" s="67"/>
      <c r="I74" s="67">
        <v>4015153</v>
      </c>
      <c r="J74" s="67"/>
      <c r="K74" s="67">
        <v>3509975</v>
      </c>
      <c r="L74" s="67"/>
      <c r="M74" s="67">
        <v>8728303</v>
      </c>
      <c r="N74" s="67"/>
      <c r="O74" s="67">
        <v>783884</v>
      </c>
      <c r="P74" s="67"/>
      <c r="Q74" s="67">
        <v>341485</v>
      </c>
      <c r="R74" s="67"/>
      <c r="S74" s="67">
        <v>78525</v>
      </c>
      <c r="T74" s="67"/>
      <c r="U74" s="67">
        <v>405135</v>
      </c>
      <c r="V74" s="67"/>
      <c r="W74" s="67">
        <v>0</v>
      </c>
      <c r="X74" s="67"/>
      <c r="Y74" s="67">
        <v>1669342</v>
      </c>
      <c r="Z74" s="67"/>
      <c r="AA74" s="67">
        <v>185182</v>
      </c>
      <c r="AB74" s="67"/>
      <c r="AC74" s="68">
        <f t="shared" si="0"/>
        <v>29530024</v>
      </c>
      <c r="AD74" s="68"/>
      <c r="AE74" s="69">
        <f t="shared" si="1"/>
        <v>27270365</v>
      </c>
      <c r="AF74" s="5"/>
      <c r="AG74" s="5"/>
    </row>
    <row r="75" spans="1:33" ht="12">
      <c r="A75" s="15" t="s">
        <v>68</v>
      </c>
      <c r="C75" s="67">
        <f>2555376</f>
        <v>2555376</v>
      </c>
      <c r="D75" s="67"/>
      <c r="E75" s="67">
        <v>983475</v>
      </c>
      <c r="F75" s="67"/>
      <c r="G75" s="67">
        <v>2252527</v>
      </c>
      <c r="H75" s="67"/>
      <c r="I75" s="67">
        <v>5696135</v>
      </c>
      <c r="J75" s="67"/>
      <c r="K75" s="67">
        <v>3570446</v>
      </c>
      <c r="L75" s="67"/>
      <c r="M75" s="67">
        <v>5542839</v>
      </c>
      <c r="N75" s="67"/>
      <c r="O75" s="67">
        <v>668513</v>
      </c>
      <c r="P75" s="67"/>
      <c r="Q75" s="67">
        <v>210429</v>
      </c>
      <c r="R75" s="67"/>
      <c r="S75" s="67">
        <f>8084-2660</f>
        <v>5424</v>
      </c>
      <c r="T75" s="67"/>
      <c r="U75" s="67">
        <v>1965257</v>
      </c>
      <c r="V75" s="67"/>
      <c r="W75" s="67">
        <v>0</v>
      </c>
      <c r="X75" s="67"/>
      <c r="Y75" s="67">
        <v>48670</v>
      </c>
      <c r="Z75" s="67"/>
      <c r="AA75" s="67">
        <v>132062</v>
      </c>
      <c r="AB75" s="67"/>
      <c r="AC75" s="68">
        <f aca="true" t="shared" si="2" ref="AC75:AC99">SUM(C75:AA75)</f>
        <v>23631153</v>
      </c>
      <c r="AD75" s="68"/>
      <c r="AE75" s="69">
        <f aca="true" t="shared" si="3" ref="AE75:AE99">SUM(C75:S75)</f>
        <v>21485164</v>
      </c>
      <c r="AF75" s="5"/>
      <c r="AG75" s="5"/>
    </row>
    <row r="76" spans="1:31" s="5" customFormat="1" ht="12">
      <c r="A76" s="5" t="s">
        <v>69</v>
      </c>
      <c r="C76" s="67">
        <v>15529241</v>
      </c>
      <c r="D76" s="67"/>
      <c r="E76" s="67">
        <v>8785009</v>
      </c>
      <c r="F76" s="67"/>
      <c r="G76" s="67">
        <v>14152243</v>
      </c>
      <c r="H76" s="67"/>
      <c r="I76" s="67">
        <v>7478295</v>
      </c>
      <c r="J76" s="67"/>
      <c r="K76" s="67">
        <v>26759684</v>
      </c>
      <c r="L76" s="67"/>
      <c r="M76" s="67">
        <v>19401111</v>
      </c>
      <c r="N76" s="67"/>
      <c r="O76" s="67">
        <v>0</v>
      </c>
      <c r="P76" s="67"/>
      <c r="Q76" s="67">
        <v>0</v>
      </c>
      <c r="R76" s="67"/>
      <c r="S76" s="67">
        <v>225241</v>
      </c>
      <c r="T76" s="67"/>
      <c r="U76" s="67">
        <v>2097956</v>
      </c>
      <c r="V76" s="67"/>
      <c r="W76" s="67">
        <v>8294</v>
      </c>
      <c r="X76" s="67"/>
      <c r="Y76" s="67">
        <v>1539381</v>
      </c>
      <c r="Z76" s="67"/>
      <c r="AA76" s="67">
        <v>1146737</v>
      </c>
      <c r="AB76" s="67"/>
      <c r="AC76" s="68">
        <f>SUM(C76:AA76)</f>
        <v>97123192</v>
      </c>
      <c r="AD76" s="68"/>
      <c r="AE76" s="69">
        <f>SUM(C76:S76)</f>
        <v>92330824</v>
      </c>
    </row>
    <row r="77" spans="1:31" s="5" customFormat="1" ht="12">
      <c r="A77" s="5" t="s">
        <v>70</v>
      </c>
      <c r="C77" s="67">
        <f>3357010</f>
        <v>3357010</v>
      </c>
      <c r="D77" s="67"/>
      <c r="E77" s="67">
        <v>1399289</v>
      </c>
      <c r="F77" s="67"/>
      <c r="G77" s="67">
        <v>4511957</v>
      </c>
      <c r="H77" s="67"/>
      <c r="I77" s="67">
        <v>3569577</v>
      </c>
      <c r="J77" s="67"/>
      <c r="K77" s="67">
        <v>2852425</v>
      </c>
      <c r="L77" s="67"/>
      <c r="M77" s="67">
        <v>8857951</v>
      </c>
      <c r="N77" s="67"/>
      <c r="O77" s="67">
        <v>280558</v>
      </c>
      <c r="P77" s="67"/>
      <c r="Q77" s="67">
        <v>0</v>
      </c>
      <c r="R77" s="67"/>
      <c r="S77" s="67">
        <f>268243-302</f>
        <v>267941</v>
      </c>
      <c r="T77" s="67"/>
      <c r="U77" s="67">
        <v>2589829</v>
      </c>
      <c r="V77" s="67"/>
      <c r="W77" s="67">
        <v>329480</v>
      </c>
      <c r="X77" s="67"/>
      <c r="Y77" s="67">
        <v>355000</v>
      </c>
      <c r="Z77" s="67"/>
      <c r="AA77" s="67">
        <v>278787</v>
      </c>
      <c r="AB77" s="67"/>
      <c r="AC77" s="68">
        <f t="shared" si="2"/>
        <v>28649804</v>
      </c>
      <c r="AD77" s="68"/>
      <c r="AE77" s="69">
        <f t="shared" si="3"/>
        <v>25096708</v>
      </c>
    </row>
    <row r="78" spans="1:33" ht="12" hidden="1">
      <c r="A78" s="15" t="s">
        <v>186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  <c r="AD78" s="68"/>
      <c r="AE78" s="69"/>
      <c r="AF78" s="5"/>
      <c r="AG78" s="5"/>
    </row>
    <row r="79" spans="1:33" ht="12">
      <c r="A79" s="15" t="s">
        <v>191</v>
      </c>
      <c r="C79" s="67">
        <v>8843404</v>
      </c>
      <c r="D79" s="67"/>
      <c r="E79" s="67">
        <v>5997968</v>
      </c>
      <c r="F79" s="67"/>
      <c r="G79" s="67">
        <v>11311717</v>
      </c>
      <c r="H79" s="67"/>
      <c r="I79" s="67">
        <v>4570674</v>
      </c>
      <c r="J79" s="67"/>
      <c r="K79" s="67">
        <v>31579460</v>
      </c>
      <c r="L79" s="67"/>
      <c r="M79" s="67">
        <v>31345742</v>
      </c>
      <c r="N79" s="67"/>
      <c r="O79" s="67">
        <v>359831</v>
      </c>
      <c r="P79" s="67"/>
      <c r="Q79" s="67">
        <v>210787</v>
      </c>
      <c r="R79" s="67"/>
      <c r="S79" s="67">
        <v>147980</v>
      </c>
      <c r="T79" s="67"/>
      <c r="U79" s="67">
        <v>5018764</v>
      </c>
      <c r="V79" s="67"/>
      <c r="W79" s="67">
        <v>998986</v>
      </c>
      <c r="X79" s="67"/>
      <c r="Y79" s="67">
        <v>1460217</v>
      </c>
      <c r="Z79" s="67"/>
      <c r="AA79" s="67">
        <v>1330401</v>
      </c>
      <c r="AB79" s="67"/>
      <c r="AC79" s="68">
        <f t="shared" si="2"/>
        <v>103175931</v>
      </c>
      <c r="AD79" s="68"/>
      <c r="AE79" s="69">
        <f t="shared" si="3"/>
        <v>94367563</v>
      </c>
      <c r="AF79" s="5"/>
      <c r="AG79" s="5"/>
    </row>
    <row r="80" spans="1:33" ht="12">
      <c r="A80" s="15" t="s">
        <v>71</v>
      </c>
      <c r="C80" s="67">
        <v>4033932</v>
      </c>
      <c r="D80" s="67"/>
      <c r="E80" s="67">
        <v>2226181</v>
      </c>
      <c r="F80" s="67"/>
      <c r="G80" s="67">
        <v>7514514</v>
      </c>
      <c r="H80" s="67"/>
      <c r="I80" s="67">
        <v>4629963</v>
      </c>
      <c r="J80" s="67"/>
      <c r="K80" s="67">
        <v>625745</v>
      </c>
      <c r="L80" s="67"/>
      <c r="M80" s="67">
        <v>21395348</v>
      </c>
      <c r="N80" s="67"/>
      <c r="O80" s="67">
        <v>819508</v>
      </c>
      <c r="P80" s="67"/>
      <c r="Q80" s="67">
        <v>0</v>
      </c>
      <c r="R80" s="67"/>
      <c r="S80" s="67">
        <v>2003632</v>
      </c>
      <c r="T80" s="67"/>
      <c r="U80" s="67">
        <v>2265332</v>
      </c>
      <c r="V80" s="67"/>
      <c r="W80" s="67">
        <v>0</v>
      </c>
      <c r="X80" s="67"/>
      <c r="Y80" s="67">
        <v>778995</v>
      </c>
      <c r="Z80" s="67"/>
      <c r="AA80" s="67">
        <v>528813</v>
      </c>
      <c r="AB80" s="67"/>
      <c r="AC80" s="68">
        <f t="shared" si="2"/>
        <v>46821963</v>
      </c>
      <c r="AD80" s="68"/>
      <c r="AE80" s="69">
        <f t="shared" si="3"/>
        <v>43248823</v>
      </c>
      <c r="AF80" s="5"/>
      <c r="AG80" s="5"/>
    </row>
    <row r="81" spans="1:33" ht="12">
      <c r="A81" s="15" t="s">
        <v>101</v>
      </c>
      <c r="C81" s="67">
        <v>4776785</v>
      </c>
      <c r="D81" s="67"/>
      <c r="E81" s="67">
        <v>3000331</v>
      </c>
      <c r="F81" s="67"/>
      <c r="G81" s="67">
        <v>7564398</v>
      </c>
      <c r="H81" s="67"/>
      <c r="I81" s="67">
        <v>4278786</v>
      </c>
      <c r="J81" s="67"/>
      <c r="K81" s="67">
        <v>302268</v>
      </c>
      <c r="L81" s="67"/>
      <c r="M81" s="67">
        <v>19265980</v>
      </c>
      <c r="N81" s="67"/>
      <c r="O81" s="67">
        <v>1282447</v>
      </c>
      <c r="P81" s="67"/>
      <c r="Q81" s="67">
        <v>0</v>
      </c>
      <c r="R81" s="67"/>
      <c r="S81" s="67">
        <f>561196+161502+2002704</f>
        <v>2725402</v>
      </c>
      <c r="T81" s="67"/>
      <c r="U81" s="67">
        <v>3740836</v>
      </c>
      <c r="V81" s="67"/>
      <c r="W81" s="67">
        <v>193900</v>
      </c>
      <c r="X81" s="67"/>
      <c r="Y81" s="67">
        <v>500686</v>
      </c>
      <c r="Z81" s="67"/>
      <c r="AA81" s="67">
        <v>367618</v>
      </c>
      <c r="AB81" s="67"/>
      <c r="AC81" s="68">
        <f t="shared" si="2"/>
        <v>47999437</v>
      </c>
      <c r="AD81" s="68"/>
      <c r="AE81" s="69">
        <f t="shared" si="3"/>
        <v>43196397</v>
      </c>
      <c r="AF81" s="5"/>
      <c r="AG81" s="5"/>
    </row>
    <row r="82" spans="1:33" ht="12">
      <c r="A82" s="15" t="s">
        <v>73</v>
      </c>
      <c r="C82" s="67">
        <v>3552313</v>
      </c>
      <c r="D82" s="67"/>
      <c r="E82" s="67">
        <v>2423280</v>
      </c>
      <c r="F82" s="67"/>
      <c r="G82" s="67">
        <v>7405726</v>
      </c>
      <c r="H82" s="67"/>
      <c r="I82" s="67">
        <v>3076437</v>
      </c>
      <c r="J82" s="67"/>
      <c r="K82" s="67">
        <v>6608902</v>
      </c>
      <c r="L82" s="67"/>
      <c r="M82" s="67">
        <v>20860429</v>
      </c>
      <c r="N82" s="67"/>
      <c r="O82" s="67">
        <v>479730</v>
      </c>
      <c r="P82" s="67"/>
      <c r="Q82" s="67">
        <v>328235</v>
      </c>
      <c r="R82" s="67"/>
      <c r="S82" s="67">
        <f>701410+1850418</f>
        <v>2551828</v>
      </c>
      <c r="T82" s="67"/>
      <c r="U82" s="67">
        <v>6064270</v>
      </c>
      <c r="V82" s="67"/>
      <c r="W82" s="67">
        <v>0</v>
      </c>
      <c r="X82" s="67"/>
      <c r="Y82" s="67">
        <v>648117</v>
      </c>
      <c r="Z82" s="67"/>
      <c r="AA82" s="67">
        <v>560879</v>
      </c>
      <c r="AB82" s="67"/>
      <c r="AC82" s="68">
        <f t="shared" si="2"/>
        <v>54560146</v>
      </c>
      <c r="AD82" s="68"/>
      <c r="AE82" s="69">
        <f t="shared" si="3"/>
        <v>47286880</v>
      </c>
      <c r="AF82" s="5"/>
      <c r="AG82" s="5"/>
    </row>
    <row r="83" spans="1:33" ht="12">
      <c r="A83" s="15" t="s">
        <v>74</v>
      </c>
      <c r="C83" s="67">
        <v>6349228</v>
      </c>
      <c r="D83" s="67"/>
      <c r="E83" s="67">
        <v>0</v>
      </c>
      <c r="F83" s="67"/>
      <c r="G83" s="67">
        <v>4890185</v>
      </c>
      <c r="H83" s="67"/>
      <c r="I83" s="67">
        <v>3054188</v>
      </c>
      <c r="J83" s="67"/>
      <c r="K83" s="67">
        <v>309660</v>
      </c>
      <c r="L83" s="67"/>
      <c r="M83" s="67">
        <f>8131351-39311</f>
        <v>8092040</v>
      </c>
      <c r="N83" s="67"/>
      <c r="O83" s="67">
        <v>64685</v>
      </c>
      <c r="P83" s="67"/>
      <c r="Q83" s="67">
        <v>63202</v>
      </c>
      <c r="R83" s="67"/>
      <c r="S83" s="67">
        <v>0</v>
      </c>
      <c r="T83" s="67"/>
      <c r="U83" s="67">
        <v>4035421</v>
      </c>
      <c r="V83" s="67"/>
      <c r="W83" s="67">
        <v>588698</v>
      </c>
      <c r="X83" s="67"/>
      <c r="Y83" s="67">
        <v>361876</v>
      </c>
      <c r="Z83" s="67"/>
      <c r="AA83" s="67">
        <v>398448</v>
      </c>
      <c r="AB83" s="67"/>
      <c r="AC83" s="68">
        <f t="shared" si="2"/>
        <v>28207631</v>
      </c>
      <c r="AD83" s="68"/>
      <c r="AE83" s="69">
        <f t="shared" si="3"/>
        <v>22823188</v>
      </c>
      <c r="AF83" s="5"/>
      <c r="AG83" s="5"/>
    </row>
    <row r="84" spans="1:31" s="5" customFormat="1" ht="12">
      <c r="A84" s="5" t="s">
        <v>75</v>
      </c>
      <c r="C84" s="67">
        <v>3761075</v>
      </c>
      <c r="D84" s="67"/>
      <c r="E84" s="67">
        <v>2131809</v>
      </c>
      <c r="F84" s="67"/>
      <c r="G84" s="67">
        <v>4502724</v>
      </c>
      <c r="H84" s="67"/>
      <c r="I84" s="67">
        <v>6854281</v>
      </c>
      <c r="J84" s="67"/>
      <c r="K84" s="67">
        <v>206875</v>
      </c>
      <c r="L84" s="67"/>
      <c r="M84" s="67">
        <f>12644269-13368</f>
        <v>12630901</v>
      </c>
      <c r="N84" s="67"/>
      <c r="O84" s="67">
        <v>210835</v>
      </c>
      <c r="P84" s="67"/>
      <c r="Q84" s="67">
        <v>0</v>
      </c>
      <c r="R84" s="67"/>
      <c r="S84" s="67">
        <v>0</v>
      </c>
      <c r="T84" s="67"/>
      <c r="U84" s="67">
        <v>1397879</v>
      </c>
      <c r="V84" s="67"/>
      <c r="W84" s="67">
        <v>556332</v>
      </c>
      <c r="X84" s="67"/>
      <c r="Y84" s="67">
        <v>2023979</v>
      </c>
      <c r="Z84" s="67"/>
      <c r="AA84" s="67">
        <v>85102</v>
      </c>
      <c r="AB84" s="67"/>
      <c r="AC84" s="68">
        <f t="shared" si="2"/>
        <v>34361792</v>
      </c>
      <c r="AD84" s="68"/>
      <c r="AE84" s="69">
        <f t="shared" si="3"/>
        <v>30298500</v>
      </c>
    </row>
    <row r="85" spans="3:31" s="5" customFormat="1" ht="12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8" t="s">
        <v>246</v>
      </c>
      <c r="AD85" s="68"/>
      <c r="AE85" s="69"/>
    </row>
    <row r="86" spans="3:31" s="5" customFormat="1" ht="12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8"/>
      <c r="AD86" s="68"/>
      <c r="AE86" s="69"/>
    </row>
    <row r="87" spans="3:31" s="5" customFormat="1" ht="12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8"/>
      <c r="AD87" s="68"/>
      <c r="AE87" s="69"/>
    </row>
    <row r="88" spans="1:31" s="60" customFormat="1" ht="12">
      <c r="A88" s="60" t="s">
        <v>76</v>
      </c>
      <c r="C88" s="64">
        <v>16240362</v>
      </c>
      <c r="D88" s="64"/>
      <c r="E88" s="64">
        <v>12897945</v>
      </c>
      <c r="F88" s="64"/>
      <c r="G88" s="64">
        <v>19811479</v>
      </c>
      <c r="H88" s="64"/>
      <c r="I88" s="64">
        <v>16981670</v>
      </c>
      <c r="J88" s="64"/>
      <c r="K88" s="64">
        <v>65174271</v>
      </c>
      <c r="L88" s="64"/>
      <c r="M88" s="64">
        <v>64137927</v>
      </c>
      <c r="N88" s="64"/>
      <c r="O88" s="64">
        <v>0</v>
      </c>
      <c r="P88" s="64"/>
      <c r="Q88" s="64">
        <v>0</v>
      </c>
      <c r="R88" s="64"/>
      <c r="S88" s="64">
        <v>694952</v>
      </c>
      <c r="T88" s="64"/>
      <c r="U88" s="64">
        <v>8330772</v>
      </c>
      <c r="V88" s="64"/>
      <c r="W88" s="64">
        <v>10185441</v>
      </c>
      <c r="X88" s="64"/>
      <c r="Y88" s="64">
        <v>627823</v>
      </c>
      <c r="Z88" s="64"/>
      <c r="AA88" s="64">
        <v>209352</v>
      </c>
      <c r="AB88" s="64"/>
      <c r="AC88" s="65">
        <f t="shared" si="2"/>
        <v>215291994</v>
      </c>
      <c r="AD88" s="65"/>
      <c r="AE88" s="66">
        <f t="shared" si="3"/>
        <v>195938606</v>
      </c>
    </row>
    <row r="89" spans="1:33" ht="12">
      <c r="A89" s="15" t="s">
        <v>77</v>
      </c>
      <c r="C89" s="67">
        <v>28961633</v>
      </c>
      <c r="D89" s="67"/>
      <c r="E89" s="67">
        <v>23948140</v>
      </c>
      <c r="F89" s="67"/>
      <c r="G89" s="67">
        <v>58722388</v>
      </c>
      <c r="H89" s="67"/>
      <c r="I89" s="67">
        <v>17000157</v>
      </c>
      <c r="J89" s="67"/>
      <c r="K89" s="67">
        <v>107504021</v>
      </c>
      <c r="L89" s="67"/>
      <c r="M89" s="67">
        <v>122293744</v>
      </c>
      <c r="N89" s="67"/>
      <c r="O89" s="67">
        <v>4865265</v>
      </c>
      <c r="P89" s="67"/>
      <c r="Q89" s="67">
        <v>4385439</v>
      </c>
      <c r="R89" s="67"/>
      <c r="S89" s="67">
        <v>1592473</v>
      </c>
      <c r="T89" s="67"/>
      <c r="U89" s="67">
        <v>19064282</v>
      </c>
      <c r="V89" s="67"/>
      <c r="W89" s="67">
        <v>333022</v>
      </c>
      <c r="X89" s="67"/>
      <c r="Y89" s="67">
        <v>6728371</v>
      </c>
      <c r="Z89" s="67"/>
      <c r="AA89" s="67">
        <v>4226520</v>
      </c>
      <c r="AB89" s="67"/>
      <c r="AC89" s="68">
        <f t="shared" si="2"/>
        <v>399625455</v>
      </c>
      <c r="AD89" s="68"/>
      <c r="AE89" s="69">
        <f t="shared" si="3"/>
        <v>369273260</v>
      </c>
      <c r="AF89" s="5"/>
      <c r="AG89" s="5"/>
    </row>
    <row r="90" spans="1:33" ht="12">
      <c r="A90" s="15" t="s">
        <v>78</v>
      </c>
      <c r="C90" s="67">
        <v>17550321</v>
      </c>
      <c r="D90" s="67"/>
      <c r="E90" s="67">
        <v>10241481</v>
      </c>
      <c r="F90" s="67"/>
      <c r="G90" s="67">
        <v>13605659</v>
      </c>
      <c r="H90" s="67"/>
      <c r="I90" s="67">
        <v>11654335</v>
      </c>
      <c r="J90" s="67"/>
      <c r="K90" s="67">
        <v>32499640</v>
      </c>
      <c r="L90" s="67"/>
      <c r="M90" s="67">
        <v>44447615</v>
      </c>
      <c r="N90" s="67"/>
      <c r="O90" s="67">
        <v>87852</v>
      </c>
      <c r="P90" s="67"/>
      <c r="Q90" s="67">
        <v>0</v>
      </c>
      <c r="R90" s="67"/>
      <c r="S90" s="67">
        <v>209635</v>
      </c>
      <c r="T90" s="67"/>
      <c r="U90" s="67">
        <v>6416719</v>
      </c>
      <c r="V90" s="67"/>
      <c r="W90" s="67">
        <v>3422037</v>
      </c>
      <c r="X90" s="67"/>
      <c r="Y90" s="67">
        <v>9272923</v>
      </c>
      <c r="Z90" s="67"/>
      <c r="AA90" s="67">
        <v>2504052</v>
      </c>
      <c r="AB90" s="67"/>
      <c r="AC90" s="68">
        <f t="shared" si="2"/>
        <v>151912269</v>
      </c>
      <c r="AD90" s="68"/>
      <c r="AE90" s="69">
        <f t="shared" si="3"/>
        <v>130296538</v>
      </c>
      <c r="AF90" s="5"/>
      <c r="AG90" s="5"/>
    </row>
    <row r="91" spans="1:33" ht="12">
      <c r="A91" s="15" t="s">
        <v>79</v>
      </c>
      <c r="C91" s="67">
        <v>5955574</v>
      </c>
      <c r="D91" s="67"/>
      <c r="E91" s="67">
        <v>3639631</v>
      </c>
      <c r="F91" s="67"/>
      <c r="G91" s="67">
        <v>7022416</v>
      </c>
      <c r="H91" s="67"/>
      <c r="I91" s="67">
        <v>7354283</v>
      </c>
      <c r="J91" s="67"/>
      <c r="K91" s="67">
        <v>7258573</v>
      </c>
      <c r="L91" s="67"/>
      <c r="M91" s="67">
        <v>15208503</v>
      </c>
      <c r="N91" s="67"/>
      <c r="O91" s="67">
        <v>0</v>
      </c>
      <c r="P91" s="67"/>
      <c r="Q91" s="67">
        <v>0</v>
      </c>
      <c r="R91" s="67"/>
      <c r="S91" s="67">
        <v>0</v>
      </c>
      <c r="T91" s="67"/>
      <c r="U91" s="67">
        <v>1882879</v>
      </c>
      <c r="V91" s="67"/>
      <c r="W91" s="67">
        <v>1416722</v>
      </c>
      <c r="X91" s="67"/>
      <c r="Y91" s="67">
        <v>65282</v>
      </c>
      <c r="Z91" s="67"/>
      <c r="AA91" s="67">
        <v>11451</v>
      </c>
      <c r="AB91" s="67"/>
      <c r="AC91" s="68">
        <f t="shared" si="2"/>
        <v>49815314</v>
      </c>
      <c r="AD91" s="68"/>
      <c r="AE91" s="69">
        <f t="shared" si="3"/>
        <v>46438980</v>
      </c>
      <c r="AF91" s="5"/>
      <c r="AG91" s="5"/>
    </row>
    <row r="92" spans="1:33" ht="12">
      <c r="A92" s="15" t="s">
        <v>80</v>
      </c>
      <c r="C92" s="67">
        <v>8423118</v>
      </c>
      <c r="D92" s="67"/>
      <c r="E92" s="67">
        <v>1627355</v>
      </c>
      <c r="F92" s="67"/>
      <c r="G92" s="67">
        <v>4843515</v>
      </c>
      <c r="H92" s="67"/>
      <c r="I92" s="67">
        <v>3680137</v>
      </c>
      <c r="J92" s="67"/>
      <c r="K92" s="67">
        <v>3448408</v>
      </c>
      <c r="L92" s="67"/>
      <c r="M92" s="67">
        <v>9858485</v>
      </c>
      <c r="N92" s="67"/>
      <c r="O92" s="67">
        <v>63260</v>
      </c>
      <c r="P92" s="67"/>
      <c r="Q92" s="67">
        <v>0</v>
      </c>
      <c r="R92" s="67"/>
      <c r="S92" s="67">
        <v>631715</v>
      </c>
      <c r="T92" s="67"/>
      <c r="U92" s="67">
        <v>4754222</v>
      </c>
      <c r="V92" s="67"/>
      <c r="W92" s="67">
        <v>30590</v>
      </c>
      <c r="X92" s="67"/>
      <c r="Y92" s="67">
        <v>708805</v>
      </c>
      <c r="Z92" s="67"/>
      <c r="AA92" s="67">
        <v>595237</v>
      </c>
      <c r="AB92" s="67"/>
      <c r="AC92" s="68">
        <f t="shared" si="2"/>
        <v>38664847</v>
      </c>
      <c r="AD92" s="68"/>
      <c r="AE92" s="69">
        <f t="shared" si="3"/>
        <v>32575993</v>
      </c>
      <c r="AF92" s="5"/>
      <c r="AG92" s="5"/>
    </row>
    <row r="93" spans="1:33" ht="12">
      <c r="A93" s="15" t="s">
        <v>81</v>
      </c>
      <c r="C93" s="5">
        <v>3903230</v>
      </c>
      <c r="D93" s="5"/>
      <c r="E93" s="5">
        <v>1200075</v>
      </c>
      <c r="F93" s="5"/>
      <c r="G93" s="5">
        <v>2689560</v>
      </c>
      <c r="H93" s="5"/>
      <c r="I93" s="5">
        <v>2834933</v>
      </c>
      <c r="J93" s="5"/>
      <c r="K93" s="5">
        <v>93530</v>
      </c>
      <c r="L93" s="5"/>
      <c r="M93" s="5">
        <v>8393038</v>
      </c>
      <c r="N93" s="5"/>
      <c r="O93" s="5">
        <v>459278</v>
      </c>
      <c r="P93" s="5"/>
      <c r="Q93" s="5">
        <v>0</v>
      </c>
      <c r="R93" s="5"/>
      <c r="S93" s="5">
        <v>0</v>
      </c>
      <c r="T93" s="5"/>
      <c r="U93" s="5">
        <v>3904011</v>
      </c>
      <c r="V93" s="5"/>
      <c r="W93" s="5">
        <v>267833</v>
      </c>
      <c r="X93" s="5"/>
      <c r="Y93" s="5">
        <v>341796</v>
      </c>
      <c r="Z93" s="5"/>
      <c r="AA93" s="5">
        <v>69514</v>
      </c>
      <c r="AB93" s="5"/>
      <c r="AC93" s="68">
        <f t="shared" si="2"/>
        <v>24156798</v>
      </c>
      <c r="AD93" s="68"/>
      <c r="AE93" s="69">
        <f t="shared" si="3"/>
        <v>19573644</v>
      </c>
      <c r="AF93" s="5"/>
      <c r="AG93" s="5"/>
    </row>
    <row r="94" spans="1:33" ht="12">
      <c r="A94" s="15" t="s">
        <v>82</v>
      </c>
      <c r="C94" s="67">
        <v>1539665</v>
      </c>
      <c r="D94" s="67"/>
      <c r="E94" s="67">
        <v>650206</v>
      </c>
      <c r="F94" s="67"/>
      <c r="G94" s="67">
        <v>841002</v>
      </c>
      <c r="H94" s="67"/>
      <c r="I94" s="67">
        <v>3818364</v>
      </c>
      <c r="J94" s="67"/>
      <c r="K94" s="67">
        <v>1190868</v>
      </c>
      <c r="L94" s="67"/>
      <c r="M94" s="67">
        <v>4876626</v>
      </c>
      <c r="N94" s="67"/>
      <c r="O94" s="67">
        <v>0</v>
      </c>
      <c r="P94" s="67"/>
      <c r="Q94" s="67">
        <v>19964</v>
      </c>
      <c r="R94" s="67"/>
      <c r="S94" s="67">
        <v>442251</v>
      </c>
      <c r="T94" s="67"/>
      <c r="U94" s="67">
        <v>1099920</v>
      </c>
      <c r="V94" s="67"/>
      <c r="W94" s="67">
        <v>0</v>
      </c>
      <c r="X94" s="67"/>
      <c r="Y94" s="67">
        <v>35096</v>
      </c>
      <c r="Z94" s="67"/>
      <c r="AA94" s="67">
        <v>27468</v>
      </c>
      <c r="AB94" s="67"/>
      <c r="AC94" s="68">
        <f t="shared" si="2"/>
        <v>14541430</v>
      </c>
      <c r="AD94" s="68"/>
      <c r="AE94" s="69">
        <f t="shared" si="3"/>
        <v>13378946</v>
      </c>
      <c r="AF94" s="5"/>
      <c r="AG94" s="5"/>
    </row>
    <row r="95" spans="1:33" ht="12">
      <c r="A95" s="15" t="s">
        <v>83</v>
      </c>
      <c r="C95" s="67">
        <v>16394004</v>
      </c>
      <c r="D95" s="67"/>
      <c r="E95" s="67">
        <v>6995030</v>
      </c>
      <c r="F95" s="67"/>
      <c r="G95" s="67">
        <v>17337300</v>
      </c>
      <c r="H95" s="67"/>
      <c r="I95" s="67">
        <v>5895132</v>
      </c>
      <c r="J95" s="67"/>
      <c r="K95" s="67">
        <v>742254</v>
      </c>
      <c r="L95" s="67"/>
      <c r="M95" s="67">
        <v>28267899</v>
      </c>
      <c r="N95" s="67"/>
      <c r="O95" s="67">
        <v>616826</v>
      </c>
      <c r="P95" s="67"/>
      <c r="Q95" s="67">
        <v>0</v>
      </c>
      <c r="R95" s="67"/>
      <c r="S95" s="67">
        <f>0</f>
        <v>0</v>
      </c>
      <c r="T95" s="67"/>
      <c r="U95" s="67">
        <v>4460160</v>
      </c>
      <c r="V95" s="67"/>
      <c r="W95" s="67">
        <v>0</v>
      </c>
      <c r="X95" s="67"/>
      <c r="Y95" s="67">
        <v>1183325</v>
      </c>
      <c r="Z95" s="67"/>
      <c r="AA95" s="67">
        <v>1235913</v>
      </c>
      <c r="AB95" s="67"/>
      <c r="AC95" s="68">
        <f t="shared" si="2"/>
        <v>83127843</v>
      </c>
      <c r="AD95" s="68"/>
      <c r="AE95" s="69">
        <f t="shared" si="3"/>
        <v>76248445</v>
      </c>
      <c r="AF95" s="5"/>
      <c r="AG95" s="5"/>
    </row>
    <row r="96" spans="1:33" ht="12">
      <c r="A96" s="15" t="s">
        <v>84</v>
      </c>
      <c r="C96" s="67">
        <v>4063256</v>
      </c>
      <c r="D96" s="67"/>
      <c r="E96" s="67">
        <v>1374211</v>
      </c>
      <c r="F96" s="67"/>
      <c r="G96" s="67">
        <v>5906632</v>
      </c>
      <c r="H96" s="67"/>
      <c r="I96" s="67">
        <v>7906498</v>
      </c>
      <c r="J96" s="67"/>
      <c r="K96" s="67">
        <v>12044510</v>
      </c>
      <c r="L96" s="67"/>
      <c r="M96" s="67">
        <v>13439449</v>
      </c>
      <c r="N96" s="67"/>
      <c r="O96" s="67">
        <v>1473615</v>
      </c>
      <c r="P96" s="67"/>
      <c r="Q96" s="67">
        <v>0</v>
      </c>
      <c r="R96" s="67"/>
      <c r="S96" s="67">
        <v>8772</v>
      </c>
      <c r="T96" s="67"/>
      <c r="U96" s="67">
        <v>5677268</v>
      </c>
      <c r="V96" s="67"/>
      <c r="W96" s="67">
        <v>679117</v>
      </c>
      <c r="X96" s="67"/>
      <c r="Y96" s="67">
        <v>295685</v>
      </c>
      <c r="Z96" s="67"/>
      <c r="AA96" s="67">
        <v>300622</v>
      </c>
      <c r="AB96" s="67"/>
      <c r="AC96" s="68">
        <f t="shared" si="2"/>
        <v>53169635</v>
      </c>
      <c r="AD96" s="68"/>
      <c r="AE96" s="69">
        <f t="shared" si="3"/>
        <v>46216943</v>
      </c>
      <c r="AF96" s="5"/>
      <c r="AG96" s="5"/>
    </row>
    <row r="97" spans="1:33" ht="12">
      <c r="A97" s="15" t="s">
        <v>85</v>
      </c>
      <c r="C97" s="67">
        <v>8338066</v>
      </c>
      <c r="D97" s="67"/>
      <c r="E97" s="67">
        <v>3869609</v>
      </c>
      <c r="F97" s="67"/>
      <c r="G97" s="67">
        <v>8549994</v>
      </c>
      <c r="H97" s="67"/>
      <c r="I97" s="67">
        <v>6622266</v>
      </c>
      <c r="J97" s="67"/>
      <c r="K97" s="67">
        <v>398682</v>
      </c>
      <c r="L97" s="67"/>
      <c r="M97" s="67">
        <v>29943341</v>
      </c>
      <c r="N97" s="67"/>
      <c r="O97" s="67">
        <v>597357</v>
      </c>
      <c r="P97" s="67"/>
      <c r="Q97" s="67">
        <v>30000</v>
      </c>
      <c r="R97" s="67"/>
      <c r="S97" s="67">
        <f>215062+914183+107765</f>
        <v>1237010</v>
      </c>
      <c r="T97" s="67"/>
      <c r="U97" s="67">
        <v>10310720</v>
      </c>
      <c r="V97" s="67"/>
      <c r="W97" s="67">
        <v>0</v>
      </c>
      <c r="X97" s="67"/>
      <c r="Y97" s="67">
        <v>9537171</v>
      </c>
      <c r="Z97" s="67"/>
      <c r="AA97" s="67">
        <v>267148</v>
      </c>
      <c r="AB97" s="67"/>
      <c r="AC97" s="68">
        <f t="shared" si="2"/>
        <v>79701364</v>
      </c>
      <c r="AD97" s="68"/>
      <c r="AE97" s="69">
        <f t="shared" si="3"/>
        <v>59586325</v>
      </c>
      <c r="AF97" s="5"/>
      <c r="AG97" s="5"/>
    </row>
    <row r="98" spans="1:33" ht="12" hidden="1">
      <c r="A98" s="15" t="s">
        <v>184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8"/>
      <c r="AD98" s="68"/>
      <c r="AE98" s="69"/>
      <c r="AF98" s="5"/>
      <c r="AG98" s="5"/>
    </row>
    <row r="99" spans="1:33" ht="12">
      <c r="A99" s="15" t="s">
        <v>86</v>
      </c>
      <c r="C99" s="67">
        <f>15048838</f>
        <v>15048838</v>
      </c>
      <c r="D99" s="67"/>
      <c r="E99" s="67">
        <v>6197644</v>
      </c>
      <c r="F99" s="67"/>
      <c r="G99" s="67">
        <v>6431251</v>
      </c>
      <c r="H99" s="67"/>
      <c r="I99" s="67">
        <v>7804650</v>
      </c>
      <c r="J99" s="67"/>
      <c r="K99" s="67">
        <v>13912523</v>
      </c>
      <c r="L99" s="67"/>
      <c r="M99" s="67">
        <v>32387324</v>
      </c>
      <c r="N99" s="67"/>
      <c r="O99" s="67">
        <v>1036188</v>
      </c>
      <c r="P99" s="67"/>
      <c r="Q99" s="67">
        <v>213642</v>
      </c>
      <c r="R99" s="67"/>
      <c r="S99" s="67">
        <f>716017+87371</f>
        <v>803388</v>
      </c>
      <c r="T99" s="67"/>
      <c r="U99" s="67">
        <v>7311955</v>
      </c>
      <c r="V99" s="67"/>
      <c r="W99" s="67">
        <v>433421</v>
      </c>
      <c r="X99" s="67"/>
      <c r="Y99" s="67">
        <v>10913736</v>
      </c>
      <c r="Z99" s="67"/>
      <c r="AA99" s="67">
        <v>986539</v>
      </c>
      <c r="AB99" s="67"/>
      <c r="AC99" s="68">
        <f t="shared" si="2"/>
        <v>103481099</v>
      </c>
      <c r="AD99" s="68"/>
      <c r="AE99" s="69">
        <f t="shared" si="3"/>
        <v>83835448</v>
      </c>
      <c r="AF99" s="5"/>
      <c r="AG99" s="5"/>
    </row>
    <row r="100" spans="1:33" ht="12" hidden="1">
      <c r="A100" s="15" t="s">
        <v>185</v>
      </c>
      <c r="C100" s="38"/>
      <c r="D100" s="38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8"/>
      <c r="AD100" s="68"/>
      <c r="AE100" s="69"/>
      <c r="AF100" s="5"/>
      <c r="AG100" s="5"/>
    </row>
    <row r="101" spans="3:33" ht="1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3:33" ht="1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3:33" ht="1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3:33" ht="1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3:33" ht="1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</sheetData>
  <mergeCells count="2">
    <mergeCell ref="C6:S6"/>
    <mergeCell ref="A1:J1"/>
  </mergeCells>
  <printOptions/>
  <pageMargins left="0.75" right="0.75" top="0.5" bottom="0.5" header="0" footer="0.25"/>
  <pageSetup firstPageNumber="26" useFirstPageNumber="1" fitToHeight="2" fitToWidth="2" horizontalDpi="600" verticalDpi="600" orientation="portrait" pageOrder="overThenDown" scale="89" r:id="rId1"/>
  <headerFooter alignWithMargins="0">
    <oddFooter>&amp;C&amp;"Times New Roman,Regular"&amp;11&amp;P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8"/>
  <sheetViews>
    <sheetView workbookViewId="0" topLeftCell="A1">
      <pane xSplit="14670" topLeftCell="A1" activePane="topLeft" state="split"/>
      <selection pane="topLeft" activeCell="A7" sqref="A7"/>
      <selection pane="topRight" activeCell="O8" sqref="O8:U8"/>
    </sheetView>
  </sheetViews>
  <sheetFormatPr defaultColWidth="9.140625" defaultRowHeight="12.75"/>
  <cols>
    <col min="1" max="1" width="11.7109375" style="13" customWidth="1"/>
    <col min="2" max="2" width="1.7109375" style="13" customWidth="1"/>
    <col min="3" max="3" width="11.7109375" style="13" customWidth="1"/>
    <col min="4" max="4" width="1.7109375" style="13" customWidth="1"/>
    <col min="5" max="5" width="11.7109375" style="13" customWidth="1"/>
    <col min="6" max="6" width="1.7109375" style="13" customWidth="1"/>
    <col min="7" max="7" width="11.7109375" style="13" customWidth="1"/>
    <col min="8" max="8" width="1.7109375" style="13" customWidth="1"/>
    <col min="9" max="9" width="11.7109375" style="13" customWidth="1"/>
    <col min="10" max="10" width="1.7109375" style="13" customWidth="1"/>
    <col min="11" max="11" width="11.7109375" style="13" customWidth="1"/>
    <col min="12" max="12" width="1.7109375" style="13" customWidth="1"/>
    <col min="13" max="13" width="11.7109375" style="13" customWidth="1"/>
    <col min="14" max="14" width="1.7109375" style="13" customWidth="1"/>
    <col min="15" max="15" width="11.7109375" style="13" customWidth="1"/>
    <col min="16" max="16" width="1.7109375" style="13" customWidth="1"/>
    <col min="17" max="17" width="11.7109375" style="13" customWidth="1"/>
    <col min="18" max="18" width="1.7109375" style="13" customWidth="1"/>
    <col min="19" max="19" width="11.7109375" style="13" customWidth="1"/>
    <col min="20" max="20" width="1.7109375" style="13" customWidth="1"/>
    <col min="21" max="21" width="11.7109375" style="13" customWidth="1"/>
    <col min="22" max="22" width="11.00390625" style="13" customWidth="1"/>
    <col min="23" max="23" width="10.7109375" style="13" customWidth="1"/>
    <col min="24" max="24" width="1.7109375" style="13" customWidth="1"/>
    <col min="25" max="25" width="10.7109375" style="13" customWidth="1"/>
    <col min="26" max="26" width="1.7109375" style="13" customWidth="1"/>
    <col min="27" max="27" width="10.7109375" style="14" customWidth="1"/>
    <col min="28" max="28" width="1.57421875" style="14" customWidth="1"/>
    <col min="29" max="29" width="10.7109375" style="14" customWidth="1"/>
    <col min="30" max="30" width="1.57421875" style="14" customWidth="1"/>
    <col min="31" max="31" width="10.7109375" style="14" customWidth="1"/>
    <col min="32" max="32" width="1.57421875" style="14" customWidth="1"/>
    <col min="33" max="33" width="10.7109375" style="14" customWidth="1"/>
    <col min="34" max="34" width="1.57421875" style="14" customWidth="1"/>
    <col min="35" max="35" width="10.7109375" style="14" customWidth="1"/>
    <col min="36" max="36" width="1.57421875" style="14" customWidth="1"/>
    <col min="37" max="37" width="10.7109375" style="14" customWidth="1"/>
    <col min="38" max="38" width="1.57421875" style="14" customWidth="1"/>
    <col min="39" max="39" width="10.7109375" style="8" customWidth="1"/>
    <col min="40" max="40" width="1.57421875" style="8" customWidth="1"/>
    <col min="41" max="41" width="10.7109375" style="8" customWidth="1"/>
    <col min="42" max="42" width="1.57421875" style="8" customWidth="1"/>
    <col min="43" max="43" width="10.7109375" style="8" customWidth="1"/>
    <col min="44" max="44" width="1.57421875" style="8" customWidth="1"/>
    <col min="45" max="45" width="10.7109375" style="8" customWidth="1"/>
    <col min="46" max="46" width="1.57421875" style="8" customWidth="1"/>
    <col min="47" max="47" width="10.7109375" style="8" customWidth="1"/>
    <col min="48" max="48" width="1.7109375" style="8" customWidth="1"/>
    <col min="49" max="49" width="9.421875" style="8" customWidth="1"/>
    <col min="50" max="50" width="1.57421875" style="8" customWidth="1"/>
    <col min="51" max="51" width="10.7109375" style="8" customWidth="1"/>
    <col min="52" max="52" width="1.57421875" style="8" customWidth="1"/>
    <col min="53" max="53" width="10.7109375" style="8" customWidth="1"/>
    <col min="54" max="54" width="1.57421875" style="8" customWidth="1"/>
    <col min="55" max="55" width="10.7109375" style="8" customWidth="1"/>
    <col min="56" max="56" width="1.57421875" style="8" customWidth="1"/>
    <col min="57" max="57" width="10.7109375" style="8" customWidth="1"/>
    <col min="58" max="58" width="1.57421875" style="8" customWidth="1"/>
    <col min="59" max="59" width="10.7109375" style="8" hidden="1" customWidth="1"/>
    <col min="60" max="60" width="1.57421875" style="8" hidden="1" customWidth="1"/>
    <col min="61" max="61" width="10.7109375" style="8" customWidth="1"/>
    <col min="62" max="65" width="8.421875" style="8" hidden="1" customWidth="1"/>
    <col min="66" max="16384" width="8.421875" style="8" customWidth="1"/>
  </cols>
  <sheetData>
    <row r="1" spans="1:51" s="18" customFormat="1" ht="12">
      <c r="A1" s="121" t="s">
        <v>209</v>
      </c>
      <c r="B1" s="121"/>
      <c r="C1" s="12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7" t="s">
        <v>209</v>
      </c>
      <c r="X1" s="17"/>
      <c r="Y1" s="17"/>
      <c r="Z1" s="14"/>
      <c r="AA1" s="14"/>
      <c r="AB1" s="14"/>
      <c r="AC1" s="14"/>
      <c r="AD1" s="14"/>
      <c r="AE1" s="14"/>
      <c r="AF1" s="14"/>
      <c r="AI1" s="14"/>
      <c r="AJ1" s="14"/>
      <c r="AK1" s="14"/>
      <c r="AL1" s="14"/>
      <c r="AW1" s="17" t="s">
        <v>209</v>
      </c>
      <c r="AX1" s="17"/>
      <c r="AY1" s="17"/>
    </row>
    <row r="2" spans="1:52" s="18" customFormat="1" ht="12">
      <c r="A2" s="121" t="s">
        <v>228</v>
      </c>
      <c r="B2" s="121"/>
      <c r="C2" s="121"/>
      <c r="D2" s="121"/>
      <c r="E2" s="121"/>
      <c r="F2" s="121"/>
      <c r="G2" s="121"/>
      <c r="H2" s="12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7" t="s">
        <v>235</v>
      </c>
      <c r="X2" s="17"/>
      <c r="Y2" s="17"/>
      <c r="Z2" s="17"/>
      <c r="AA2" s="17"/>
      <c r="AB2" s="17"/>
      <c r="AC2" s="17"/>
      <c r="AD2" s="17"/>
      <c r="AE2" s="17"/>
      <c r="AF2" s="17"/>
      <c r="AI2" s="14"/>
      <c r="AJ2" s="14"/>
      <c r="AK2" s="14"/>
      <c r="AL2" s="14"/>
      <c r="AW2" s="17" t="s">
        <v>104</v>
      </c>
      <c r="AX2" s="17"/>
      <c r="AY2" s="17"/>
      <c r="AZ2" s="17"/>
    </row>
    <row r="3" spans="1:51" s="18" customFormat="1" ht="12">
      <c r="A3" s="17" t="s">
        <v>211</v>
      </c>
      <c r="B3" s="7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7" t="s">
        <v>154</v>
      </c>
      <c r="X3" s="71"/>
      <c r="Y3" s="7"/>
      <c r="Z3" s="14"/>
      <c r="AA3" s="14"/>
      <c r="AB3" s="14"/>
      <c r="AC3" s="14"/>
      <c r="AD3" s="14"/>
      <c r="AE3" s="14"/>
      <c r="AF3" s="14"/>
      <c r="AI3" s="14"/>
      <c r="AJ3" s="14"/>
      <c r="AK3" s="14"/>
      <c r="AL3" s="14"/>
      <c r="AW3" s="17" t="s">
        <v>211</v>
      </c>
      <c r="AX3" s="71"/>
      <c r="AY3" s="7"/>
    </row>
    <row r="4" spans="1:26" ht="12">
      <c r="A4" s="8"/>
      <c r="B4" s="8"/>
      <c r="C4" s="8"/>
      <c r="D4" s="71"/>
      <c r="E4" s="71"/>
      <c r="F4" s="71"/>
      <c r="G4" s="71"/>
      <c r="H4" s="71"/>
      <c r="W4" s="8"/>
      <c r="X4" s="8"/>
      <c r="Y4" s="8"/>
      <c r="Z4" s="14"/>
    </row>
    <row r="5" spans="1:51" ht="12">
      <c r="A5" s="6" t="s">
        <v>197</v>
      </c>
      <c r="B5" s="71"/>
      <c r="C5" s="71"/>
      <c r="D5" s="71"/>
      <c r="E5" s="71"/>
      <c r="F5" s="71"/>
      <c r="G5" s="71"/>
      <c r="H5" s="71"/>
      <c r="W5" s="6" t="s">
        <v>197</v>
      </c>
      <c r="X5" s="71"/>
      <c r="Y5" s="71"/>
      <c r="Z5" s="14"/>
      <c r="AW5" s="6" t="s">
        <v>197</v>
      </c>
      <c r="AX5" s="71"/>
      <c r="AY5" s="71"/>
    </row>
    <row r="6" spans="1:53" ht="12">
      <c r="A6" s="6"/>
      <c r="B6" s="71"/>
      <c r="C6" s="71"/>
      <c r="D6" s="71"/>
      <c r="E6" s="71"/>
      <c r="F6" s="71"/>
      <c r="G6" s="71"/>
      <c r="H6" s="71"/>
      <c r="Y6" s="6"/>
      <c r="Z6" s="71"/>
      <c r="AA6" s="71"/>
      <c r="AY6" s="6"/>
      <c r="AZ6" s="71"/>
      <c r="BA6" s="71"/>
    </row>
    <row r="7" spans="1:21" ht="12">
      <c r="A7" s="8"/>
      <c r="B7" s="8"/>
      <c r="C7" s="8"/>
      <c r="D7" s="71"/>
      <c r="E7" s="71"/>
      <c r="F7" s="71"/>
      <c r="G7" s="71"/>
      <c r="H7" s="71"/>
      <c r="T7" s="49"/>
      <c r="U7" s="49"/>
    </row>
    <row r="8" spans="1:61" ht="12">
      <c r="A8" s="3"/>
      <c r="B8" s="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19"/>
      <c r="P8" s="119"/>
      <c r="Q8" s="119"/>
      <c r="R8" s="119"/>
      <c r="S8" s="119"/>
      <c r="T8" s="8"/>
      <c r="U8" s="8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 t="s">
        <v>231</v>
      </c>
      <c r="AR8" s="32"/>
      <c r="AS8" s="32" t="s">
        <v>233</v>
      </c>
      <c r="AT8" s="32"/>
      <c r="AU8" s="32"/>
      <c r="AV8" s="32"/>
      <c r="AW8" s="32"/>
      <c r="AX8" s="32"/>
      <c r="AY8" s="122"/>
      <c r="AZ8" s="122"/>
      <c r="BA8" s="122"/>
      <c r="BB8" s="122"/>
      <c r="BC8" s="122"/>
      <c r="BD8" s="122"/>
      <c r="BE8" s="122"/>
      <c r="BF8" s="49"/>
      <c r="BG8" s="49"/>
      <c r="BH8" s="49"/>
      <c r="BI8" s="34"/>
    </row>
    <row r="9" spans="1:61" ht="12">
      <c r="A9" s="3"/>
      <c r="B9" s="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P9" s="8"/>
      <c r="Q9" s="8"/>
      <c r="R9" s="8"/>
      <c r="S9" s="8"/>
      <c r="T9" s="8"/>
      <c r="U9" s="32" t="s">
        <v>3</v>
      </c>
      <c r="V9" s="75" t="s">
        <v>208</v>
      </c>
      <c r="W9" s="75"/>
      <c r="X9" s="75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 t="s">
        <v>204</v>
      </c>
      <c r="AP9" s="32"/>
      <c r="AQ9" s="84" t="s">
        <v>155</v>
      </c>
      <c r="AR9" s="32"/>
      <c r="AS9" s="84" t="s">
        <v>155</v>
      </c>
      <c r="AT9" s="32"/>
      <c r="AU9" s="32"/>
      <c r="AV9" s="32"/>
      <c r="AW9" s="32"/>
      <c r="AX9" s="32"/>
      <c r="AY9" s="32" t="s">
        <v>105</v>
      </c>
      <c r="AZ9" s="32"/>
      <c r="BA9" s="32" t="s">
        <v>106</v>
      </c>
      <c r="BB9" s="32"/>
      <c r="BC9" s="32"/>
      <c r="BD9" s="32"/>
      <c r="BE9" s="32" t="s">
        <v>107</v>
      </c>
      <c r="BF9" s="32"/>
      <c r="BG9" s="32" t="s">
        <v>205</v>
      </c>
      <c r="BH9" s="32"/>
      <c r="BI9" s="36" t="s">
        <v>3</v>
      </c>
    </row>
    <row r="10" spans="1:61" ht="12">
      <c r="A10" s="3"/>
      <c r="B10" s="3"/>
      <c r="C10" s="32" t="s">
        <v>140</v>
      </c>
      <c r="D10" s="32"/>
      <c r="E10" s="32" t="s">
        <v>156</v>
      </c>
      <c r="F10" s="32"/>
      <c r="G10" s="32" t="s">
        <v>3</v>
      </c>
      <c r="H10" s="32"/>
      <c r="I10" s="32" t="s">
        <v>140</v>
      </c>
      <c r="J10" s="32"/>
      <c r="K10" s="32" t="s">
        <v>156</v>
      </c>
      <c r="L10" s="32"/>
      <c r="M10" s="32" t="s">
        <v>3</v>
      </c>
      <c r="N10" s="32"/>
      <c r="O10" s="32" t="s">
        <v>144</v>
      </c>
      <c r="P10" s="32"/>
      <c r="Q10" s="32"/>
      <c r="R10" s="32"/>
      <c r="S10" s="32"/>
      <c r="T10" s="32"/>
      <c r="U10" s="52" t="s">
        <v>254</v>
      </c>
      <c r="V10" s="32"/>
      <c r="W10" s="32"/>
      <c r="X10" s="32"/>
      <c r="Y10" s="32" t="s">
        <v>103</v>
      </c>
      <c r="Z10" s="32"/>
      <c r="AA10" s="32" t="s">
        <v>157</v>
      </c>
      <c r="AB10" s="32"/>
      <c r="AC10" s="32"/>
      <c r="AD10" s="32"/>
      <c r="AE10" s="32" t="s">
        <v>103</v>
      </c>
      <c r="AF10" s="32"/>
      <c r="AG10" s="32" t="s">
        <v>158</v>
      </c>
      <c r="AH10" s="32"/>
      <c r="AI10" s="32" t="s">
        <v>103</v>
      </c>
      <c r="AJ10" s="32"/>
      <c r="AK10" s="32" t="s">
        <v>103</v>
      </c>
      <c r="AL10" s="32"/>
      <c r="AM10" s="32" t="s">
        <v>90</v>
      </c>
      <c r="AN10" s="32"/>
      <c r="AO10" s="32" t="s">
        <v>217</v>
      </c>
      <c r="AP10" s="32"/>
      <c r="AQ10" s="32" t="s">
        <v>219</v>
      </c>
      <c r="AR10" s="32"/>
      <c r="AS10" s="32" t="s">
        <v>219</v>
      </c>
      <c r="AT10" s="32"/>
      <c r="AU10" s="32" t="s">
        <v>256</v>
      </c>
      <c r="AV10" s="32"/>
      <c r="AW10" s="32"/>
      <c r="AX10" s="32"/>
      <c r="AY10" s="32" t="s">
        <v>108</v>
      </c>
      <c r="AZ10" s="32"/>
      <c r="BA10" s="32" t="s">
        <v>11</v>
      </c>
      <c r="BB10" s="32"/>
      <c r="BC10" s="32"/>
      <c r="BD10" s="32"/>
      <c r="BE10" s="32" t="s">
        <v>109</v>
      </c>
      <c r="BF10" s="32"/>
      <c r="BG10" s="32" t="s">
        <v>221</v>
      </c>
      <c r="BH10" s="32"/>
      <c r="BI10" s="36" t="s">
        <v>109</v>
      </c>
    </row>
    <row r="11" spans="1:61" ht="12">
      <c r="A11" s="53" t="s">
        <v>4</v>
      </c>
      <c r="B11" s="47"/>
      <c r="C11" s="39" t="s">
        <v>117</v>
      </c>
      <c r="D11" s="52"/>
      <c r="E11" s="39" t="s">
        <v>117</v>
      </c>
      <c r="F11" s="52"/>
      <c r="G11" s="39" t="s">
        <v>117</v>
      </c>
      <c r="H11" s="52"/>
      <c r="I11" s="39" t="s">
        <v>124</v>
      </c>
      <c r="J11" s="52"/>
      <c r="K11" s="39" t="s">
        <v>124</v>
      </c>
      <c r="L11" s="52"/>
      <c r="M11" s="39" t="s">
        <v>124</v>
      </c>
      <c r="N11" s="52"/>
      <c r="O11" s="39" t="s">
        <v>226</v>
      </c>
      <c r="P11" s="52"/>
      <c r="Q11" s="39" t="s">
        <v>146</v>
      </c>
      <c r="R11" s="52"/>
      <c r="S11" s="39" t="s">
        <v>147</v>
      </c>
      <c r="T11" s="52"/>
      <c r="U11" s="39" t="s">
        <v>255</v>
      </c>
      <c r="V11" s="52"/>
      <c r="W11" s="53" t="s">
        <v>4</v>
      </c>
      <c r="X11" s="52"/>
      <c r="Y11" s="39" t="s">
        <v>11</v>
      </c>
      <c r="Z11" s="52"/>
      <c r="AA11" s="39" t="s">
        <v>110</v>
      </c>
      <c r="AB11" s="52"/>
      <c r="AC11" s="39" t="s">
        <v>110</v>
      </c>
      <c r="AD11" s="52"/>
      <c r="AE11" s="39" t="s">
        <v>111</v>
      </c>
      <c r="AF11" s="52"/>
      <c r="AG11" s="39" t="s">
        <v>218</v>
      </c>
      <c r="AH11" s="52"/>
      <c r="AI11" s="39" t="s">
        <v>112</v>
      </c>
      <c r="AJ11" s="52"/>
      <c r="AK11" s="39" t="s">
        <v>113</v>
      </c>
      <c r="AL11" s="52"/>
      <c r="AM11" s="39" t="s">
        <v>159</v>
      </c>
      <c r="AN11" s="52"/>
      <c r="AO11" s="39" t="s">
        <v>142</v>
      </c>
      <c r="AP11" s="52"/>
      <c r="AQ11" s="40" t="s">
        <v>220</v>
      </c>
      <c r="AR11" s="32"/>
      <c r="AS11" s="40" t="s">
        <v>220</v>
      </c>
      <c r="AT11" s="32"/>
      <c r="AU11" s="39" t="s">
        <v>90</v>
      </c>
      <c r="AV11" s="52"/>
      <c r="AW11" s="53" t="s">
        <v>4</v>
      </c>
      <c r="AX11" s="52"/>
      <c r="AY11" s="39" t="s">
        <v>114</v>
      </c>
      <c r="AZ11" s="52"/>
      <c r="BA11" s="39" t="s">
        <v>114</v>
      </c>
      <c r="BB11" s="52"/>
      <c r="BC11" s="39" t="s">
        <v>115</v>
      </c>
      <c r="BD11" s="52"/>
      <c r="BE11" s="39" t="s">
        <v>116</v>
      </c>
      <c r="BF11" s="52"/>
      <c r="BG11" s="39" t="s">
        <v>207</v>
      </c>
      <c r="BH11" s="52"/>
      <c r="BI11" s="41" t="s">
        <v>116</v>
      </c>
    </row>
    <row r="12" spans="1:61" ht="12">
      <c r="A12" s="47"/>
      <c r="B12" s="4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47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32"/>
      <c r="AR12" s="32"/>
      <c r="AS12" s="32"/>
      <c r="AT12" s="32"/>
      <c r="AU12" s="52"/>
      <c r="AV12" s="52"/>
      <c r="AW12" s="47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6"/>
    </row>
    <row r="13" spans="1:61" ht="12" hidden="1">
      <c r="A13" s="13" t="s">
        <v>12</v>
      </c>
      <c r="C13" s="37">
        <v>0</v>
      </c>
      <c r="D13" s="37"/>
      <c r="E13" s="37">
        <v>0</v>
      </c>
      <c r="F13" s="37"/>
      <c r="G13" s="37">
        <v>0</v>
      </c>
      <c r="H13" s="37"/>
      <c r="I13" s="37">
        <v>0</v>
      </c>
      <c r="J13" s="37"/>
      <c r="K13" s="37">
        <v>0</v>
      </c>
      <c r="L13" s="37"/>
      <c r="M13" s="37">
        <v>0</v>
      </c>
      <c r="N13" s="37"/>
      <c r="O13" s="37">
        <v>0</v>
      </c>
      <c r="P13" s="37"/>
      <c r="Q13" s="37">
        <v>0</v>
      </c>
      <c r="R13" s="37"/>
      <c r="S13" s="37">
        <v>0</v>
      </c>
      <c r="T13" s="37"/>
      <c r="U13" s="37">
        <v>0</v>
      </c>
      <c r="V13" s="37"/>
      <c r="W13" s="13" t="s">
        <v>12</v>
      </c>
      <c r="X13" s="37"/>
      <c r="Y13" s="37">
        <v>0</v>
      </c>
      <c r="Z13" s="37"/>
      <c r="AA13" s="37">
        <v>0</v>
      </c>
      <c r="AB13" s="37"/>
      <c r="AC13" s="37">
        <v>0</v>
      </c>
      <c r="AD13" s="37"/>
      <c r="AE13" s="37">
        <v>0</v>
      </c>
      <c r="AF13" s="37"/>
      <c r="AG13" s="37">
        <v>0</v>
      </c>
      <c r="AH13" s="37"/>
      <c r="AI13" s="37">
        <v>0</v>
      </c>
      <c r="AJ13" s="37"/>
      <c r="AK13" s="37">
        <v>0</v>
      </c>
      <c r="AL13" s="37"/>
      <c r="AM13" s="37">
        <v>0</v>
      </c>
      <c r="AN13" s="37"/>
      <c r="AO13" s="37">
        <v>0</v>
      </c>
      <c r="AP13" s="37"/>
      <c r="AQ13" s="37">
        <v>0</v>
      </c>
      <c r="AR13" s="37"/>
      <c r="AS13" s="37">
        <v>0</v>
      </c>
      <c r="AT13" s="37"/>
      <c r="AU13" s="37">
        <v>0</v>
      </c>
      <c r="AV13" s="37"/>
      <c r="AW13" s="13" t="s">
        <v>12</v>
      </c>
      <c r="AX13" s="37"/>
      <c r="AY13" s="37">
        <v>0</v>
      </c>
      <c r="AZ13" s="37"/>
      <c r="BA13" s="37">
        <v>0</v>
      </c>
      <c r="BB13" s="37"/>
      <c r="BC13" s="37">
        <v>0</v>
      </c>
      <c r="BD13" s="37"/>
      <c r="BE13" s="37">
        <v>0</v>
      </c>
      <c r="BF13" s="37"/>
      <c r="BG13" s="37"/>
      <c r="BH13" s="37"/>
      <c r="BI13" s="37">
        <v>0</v>
      </c>
    </row>
    <row r="14" spans="1:62" ht="12" hidden="1">
      <c r="A14" s="13" t="s">
        <v>13</v>
      </c>
      <c r="C14" s="37">
        <v>0</v>
      </c>
      <c r="D14" s="37"/>
      <c r="E14" s="37">
        <v>0</v>
      </c>
      <c r="F14" s="37"/>
      <c r="G14" s="37">
        <v>0</v>
      </c>
      <c r="H14" s="37"/>
      <c r="I14" s="37">
        <v>0</v>
      </c>
      <c r="J14" s="37"/>
      <c r="K14" s="37">
        <v>0</v>
      </c>
      <c r="L14" s="37"/>
      <c r="M14" s="37">
        <v>0</v>
      </c>
      <c r="N14" s="37"/>
      <c r="O14" s="37">
        <v>0</v>
      </c>
      <c r="P14" s="37"/>
      <c r="Q14" s="37">
        <v>0</v>
      </c>
      <c r="R14" s="37"/>
      <c r="S14" s="37">
        <v>0</v>
      </c>
      <c r="T14" s="37"/>
      <c r="U14" s="37">
        <v>0</v>
      </c>
      <c r="V14" s="37"/>
      <c r="W14" s="13" t="s">
        <v>13</v>
      </c>
      <c r="X14" s="37"/>
      <c r="Y14" s="37">
        <v>0</v>
      </c>
      <c r="Z14" s="37"/>
      <c r="AA14" s="37">
        <v>0</v>
      </c>
      <c r="AB14" s="37"/>
      <c r="AC14" s="37">
        <v>0</v>
      </c>
      <c r="AD14" s="37"/>
      <c r="AE14" s="37">
        <v>0</v>
      </c>
      <c r="AF14" s="37"/>
      <c r="AG14" s="37">
        <v>0</v>
      </c>
      <c r="AH14" s="37"/>
      <c r="AI14" s="37">
        <v>0</v>
      </c>
      <c r="AJ14" s="37"/>
      <c r="AK14" s="37">
        <v>0</v>
      </c>
      <c r="AL14" s="37"/>
      <c r="AM14" s="37">
        <v>0</v>
      </c>
      <c r="AN14" s="37"/>
      <c r="AO14" s="37">
        <v>0</v>
      </c>
      <c r="AP14" s="37"/>
      <c r="AQ14" s="37">
        <v>0</v>
      </c>
      <c r="AR14" s="37"/>
      <c r="AS14" s="37">
        <v>0</v>
      </c>
      <c r="AT14" s="37"/>
      <c r="AU14" s="37">
        <v>0</v>
      </c>
      <c r="AV14" s="37"/>
      <c r="AW14" s="13" t="s">
        <v>13</v>
      </c>
      <c r="AX14" s="37"/>
      <c r="AY14" s="37">
        <v>0</v>
      </c>
      <c r="AZ14" s="37"/>
      <c r="BA14" s="37">
        <v>0</v>
      </c>
      <c r="BB14" s="37"/>
      <c r="BC14" s="37">
        <v>0</v>
      </c>
      <c r="BD14" s="37"/>
      <c r="BE14" s="37">
        <v>0</v>
      </c>
      <c r="BF14" s="37"/>
      <c r="BG14" s="37"/>
      <c r="BH14" s="37"/>
      <c r="BI14" s="37">
        <v>0</v>
      </c>
      <c r="BJ14" s="8" t="s">
        <v>166</v>
      </c>
    </row>
    <row r="15" spans="1:62" ht="12" hidden="1">
      <c r="A15" s="13" t="s">
        <v>14</v>
      </c>
      <c r="C15" s="37">
        <v>0</v>
      </c>
      <c r="D15" s="37"/>
      <c r="E15" s="37">
        <v>0</v>
      </c>
      <c r="F15" s="37"/>
      <c r="G15" s="37">
        <v>0</v>
      </c>
      <c r="H15" s="37"/>
      <c r="I15" s="37">
        <v>0</v>
      </c>
      <c r="J15" s="37"/>
      <c r="K15" s="37">
        <v>0</v>
      </c>
      <c r="L15" s="37"/>
      <c r="M15" s="37">
        <v>0</v>
      </c>
      <c r="N15" s="37"/>
      <c r="O15" s="37">
        <v>0</v>
      </c>
      <c r="P15" s="37"/>
      <c r="Q15" s="37">
        <v>0</v>
      </c>
      <c r="R15" s="37"/>
      <c r="S15" s="37">
        <v>0</v>
      </c>
      <c r="T15" s="37"/>
      <c r="U15" s="37">
        <v>0</v>
      </c>
      <c r="V15" s="37"/>
      <c r="W15" s="13" t="s">
        <v>14</v>
      </c>
      <c r="X15" s="37"/>
      <c r="Y15" s="37">
        <v>0</v>
      </c>
      <c r="Z15" s="37"/>
      <c r="AA15" s="37">
        <v>0</v>
      </c>
      <c r="AB15" s="37"/>
      <c r="AC15" s="37">
        <v>0</v>
      </c>
      <c r="AD15" s="37"/>
      <c r="AE15" s="37">
        <v>0</v>
      </c>
      <c r="AF15" s="37"/>
      <c r="AG15" s="37">
        <v>0</v>
      </c>
      <c r="AH15" s="37"/>
      <c r="AI15" s="37">
        <v>0</v>
      </c>
      <c r="AJ15" s="37"/>
      <c r="AK15" s="37">
        <v>0</v>
      </c>
      <c r="AL15" s="37"/>
      <c r="AM15" s="37">
        <v>0</v>
      </c>
      <c r="AN15" s="37"/>
      <c r="AO15" s="37">
        <v>0</v>
      </c>
      <c r="AP15" s="37"/>
      <c r="AQ15" s="37">
        <v>0</v>
      </c>
      <c r="AR15" s="37"/>
      <c r="AS15" s="37">
        <v>0</v>
      </c>
      <c r="AT15" s="37"/>
      <c r="AU15" s="37">
        <v>0</v>
      </c>
      <c r="AV15" s="37"/>
      <c r="AW15" s="13" t="s">
        <v>14</v>
      </c>
      <c r="AX15" s="37"/>
      <c r="AY15" s="37">
        <v>0</v>
      </c>
      <c r="AZ15" s="37"/>
      <c r="BA15" s="37">
        <v>0</v>
      </c>
      <c r="BB15" s="37"/>
      <c r="BC15" s="37">
        <v>0</v>
      </c>
      <c r="BD15" s="37"/>
      <c r="BE15" s="37">
        <v>0</v>
      </c>
      <c r="BF15" s="37"/>
      <c r="BG15" s="37"/>
      <c r="BH15" s="37"/>
      <c r="BI15" s="37">
        <v>0</v>
      </c>
      <c r="BJ15" s="8" t="s">
        <v>179</v>
      </c>
    </row>
    <row r="16" spans="1:62" ht="12" hidden="1">
      <c r="A16" s="13" t="s">
        <v>15</v>
      </c>
      <c r="C16" s="37">
        <v>0</v>
      </c>
      <c r="D16" s="37"/>
      <c r="E16" s="37">
        <v>0</v>
      </c>
      <c r="F16" s="37"/>
      <c r="G16" s="37">
        <v>0</v>
      </c>
      <c r="H16" s="37"/>
      <c r="I16" s="37">
        <v>0</v>
      </c>
      <c r="J16" s="37"/>
      <c r="K16" s="37">
        <v>0</v>
      </c>
      <c r="L16" s="37"/>
      <c r="M16" s="37">
        <v>0</v>
      </c>
      <c r="N16" s="37"/>
      <c r="O16" s="37">
        <v>0</v>
      </c>
      <c r="P16" s="37"/>
      <c r="Q16" s="37">
        <v>0</v>
      </c>
      <c r="R16" s="37"/>
      <c r="S16" s="37">
        <v>0</v>
      </c>
      <c r="T16" s="37"/>
      <c r="U16" s="37">
        <v>0</v>
      </c>
      <c r="V16" s="37"/>
      <c r="W16" s="13" t="s">
        <v>15</v>
      </c>
      <c r="X16" s="37"/>
      <c r="Y16" s="37">
        <v>0</v>
      </c>
      <c r="Z16" s="37"/>
      <c r="AA16" s="37">
        <v>0</v>
      </c>
      <c r="AB16" s="37"/>
      <c r="AC16" s="37">
        <v>0</v>
      </c>
      <c r="AD16" s="37"/>
      <c r="AE16" s="37">
        <v>0</v>
      </c>
      <c r="AF16" s="37"/>
      <c r="AG16" s="37">
        <v>0</v>
      </c>
      <c r="AH16" s="37"/>
      <c r="AI16" s="37">
        <v>0</v>
      </c>
      <c r="AJ16" s="37"/>
      <c r="AK16" s="37">
        <v>0</v>
      </c>
      <c r="AL16" s="37"/>
      <c r="AM16" s="37">
        <v>0</v>
      </c>
      <c r="AN16" s="37"/>
      <c r="AO16" s="37">
        <v>0</v>
      </c>
      <c r="AP16" s="37"/>
      <c r="AQ16" s="37">
        <v>0</v>
      </c>
      <c r="AR16" s="37"/>
      <c r="AS16" s="37">
        <v>0</v>
      </c>
      <c r="AT16" s="37"/>
      <c r="AU16" s="37">
        <v>0</v>
      </c>
      <c r="AV16" s="37"/>
      <c r="AW16" s="13" t="s">
        <v>15</v>
      </c>
      <c r="AX16" s="37"/>
      <c r="AY16" s="37">
        <v>0</v>
      </c>
      <c r="AZ16" s="37"/>
      <c r="BA16" s="37">
        <v>0</v>
      </c>
      <c r="BB16" s="37"/>
      <c r="BC16" s="37">
        <v>0</v>
      </c>
      <c r="BD16" s="37"/>
      <c r="BE16" s="37">
        <v>0</v>
      </c>
      <c r="BF16" s="37"/>
      <c r="BG16" s="37"/>
      <c r="BH16" s="37"/>
      <c r="BI16" s="37">
        <v>0</v>
      </c>
      <c r="BJ16" s="8" t="s">
        <v>180</v>
      </c>
    </row>
    <row r="17" spans="1:61" ht="12">
      <c r="A17" s="13" t="s">
        <v>16</v>
      </c>
      <c r="C17" s="77">
        <f>G17-E17</f>
        <v>678987</v>
      </c>
      <c r="D17" s="77"/>
      <c r="E17" s="77">
        <v>579972</v>
      </c>
      <c r="F17" s="77"/>
      <c r="G17" s="77">
        <v>1258959</v>
      </c>
      <c r="H17" s="77"/>
      <c r="I17" s="77">
        <f>M17-K17</f>
        <v>149994</v>
      </c>
      <c r="J17" s="77"/>
      <c r="K17" s="77">
        <f>SUM(BI17)</f>
        <v>48800</v>
      </c>
      <c r="L17" s="77"/>
      <c r="M17" s="77">
        <v>198794</v>
      </c>
      <c r="N17" s="77"/>
      <c r="O17" s="77">
        <v>0</v>
      </c>
      <c r="P17" s="77"/>
      <c r="Q17" s="77">
        <v>0</v>
      </c>
      <c r="R17" s="77"/>
      <c r="S17" s="77">
        <f>1110272-50107</f>
        <v>1060165</v>
      </c>
      <c r="T17" s="77"/>
      <c r="U17" s="77">
        <f>SUM(O17:S17)</f>
        <v>1060165</v>
      </c>
      <c r="V17" s="37"/>
      <c r="W17" s="13" t="s">
        <v>16</v>
      </c>
      <c r="X17" s="37"/>
      <c r="Y17" s="81">
        <f>526839+140915</f>
        <v>667754</v>
      </c>
      <c r="Z17" s="81"/>
      <c r="AA17" s="81">
        <f>455006+147436-56520</f>
        <v>545922</v>
      </c>
      <c r="AB17" s="81"/>
      <c r="AC17" s="81">
        <v>56520</v>
      </c>
      <c r="AD17" s="81"/>
      <c r="AE17" s="74">
        <f>+Y17-AA17-AC17</f>
        <v>65312</v>
      </c>
      <c r="AF17" s="74"/>
      <c r="AG17" s="74">
        <f>-1805-3302</f>
        <v>-5107</v>
      </c>
      <c r="AH17" s="74"/>
      <c r="AI17" s="81">
        <v>0</v>
      </c>
      <c r="AJ17" s="81"/>
      <c r="AK17" s="81">
        <v>675</v>
      </c>
      <c r="AL17" s="81"/>
      <c r="AM17" s="81">
        <v>0</v>
      </c>
      <c r="AN17" s="81"/>
      <c r="AO17" s="74">
        <f>+AE17+AG17+AI17-AK17+AM17</f>
        <v>59530</v>
      </c>
      <c r="AP17" s="74"/>
      <c r="AQ17" s="70" t="s">
        <v>163</v>
      </c>
      <c r="AR17" s="81"/>
      <c r="AS17" s="70" t="s">
        <v>163</v>
      </c>
      <c r="AT17" s="81"/>
      <c r="AU17" s="81">
        <f>+C17-I17</f>
        <v>528993</v>
      </c>
      <c r="AV17" s="81"/>
      <c r="AW17" s="81" t="s">
        <v>16</v>
      </c>
      <c r="AX17" s="81"/>
      <c r="AY17" s="81">
        <v>0</v>
      </c>
      <c r="AZ17" s="81"/>
      <c r="BA17" s="81">
        <v>0</v>
      </c>
      <c r="BB17" s="81"/>
      <c r="BC17" s="81">
        <v>48800</v>
      </c>
      <c r="BD17" s="81"/>
      <c r="BE17" s="81">
        <v>0</v>
      </c>
      <c r="BF17" s="81"/>
      <c r="BG17" s="81"/>
      <c r="BH17" s="81"/>
      <c r="BI17" s="81">
        <f>SUM(AY17:BE17)-BG17</f>
        <v>48800</v>
      </c>
    </row>
    <row r="18" spans="1:62" ht="12" hidden="1">
      <c r="A18" s="13" t="s">
        <v>17</v>
      </c>
      <c r="C18" s="37">
        <v>0</v>
      </c>
      <c r="D18" s="37"/>
      <c r="E18" s="37">
        <v>0</v>
      </c>
      <c r="F18" s="37"/>
      <c r="G18" s="37">
        <v>0</v>
      </c>
      <c r="H18" s="37"/>
      <c r="I18" s="37">
        <v>0</v>
      </c>
      <c r="J18" s="37"/>
      <c r="K18" s="37">
        <v>0</v>
      </c>
      <c r="L18" s="37"/>
      <c r="M18" s="37">
        <v>0</v>
      </c>
      <c r="N18" s="37"/>
      <c r="O18" s="37">
        <v>0</v>
      </c>
      <c r="P18" s="37"/>
      <c r="Q18" s="37">
        <v>0</v>
      </c>
      <c r="R18" s="37"/>
      <c r="S18" s="37">
        <v>0</v>
      </c>
      <c r="T18" s="37"/>
      <c r="U18" s="37">
        <v>0</v>
      </c>
      <c r="V18" s="37"/>
      <c r="W18" s="13" t="s">
        <v>17</v>
      </c>
      <c r="X18" s="37"/>
      <c r="Y18" s="37">
        <v>0</v>
      </c>
      <c r="Z18" s="37"/>
      <c r="AA18" s="37">
        <v>0</v>
      </c>
      <c r="AB18" s="37"/>
      <c r="AC18" s="37">
        <v>0</v>
      </c>
      <c r="AD18" s="37"/>
      <c r="AE18" s="37">
        <v>0</v>
      </c>
      <c r="AF18" s="37"/>
      <c r="AG18" s="37">
        <v>0</v>
      </c>
      <c r="AH18" s="37"/>
      <c r="AI18" s="37">
        <v>0</v>
      </c>
      <c r="AJ18" s="37"/>
      <c r="AK18" s="37">
        <v>0</v>
      </c>
      <c r="AL18" s="37"/>
      <c r="AM18" s="37">
        <v>0</v>
      </c>
      <c r="AN18" s="37"/>
      <c r="AO18" s="37">
        <v>0</v>
      </c>
      <c r="AP18" s="37"/>
      <c r="AQ18" s="37">
        <v>0</v>
      </c>
      <c r="AR18" s="37"/>
      <c r="AS18" s="37">
        <v>0</v>
      </c>
      <c r="AT18" s="37"/>
      <c r="AU18" s="37">
        <v>0</v>
      </c>
      <c r="AV18" s="37"/>
      <c r="AW18" s="13" t="s">
        <v>17</v>
      </c>
      <c r="AX18" s="37"/>
      <c r="AY18" s="37">
        <v>0</v>
      </c>
      <c r="AZ18" s="37"/>
      <c r="BA18" s="37">
        <v>0</v>
      </c>
      <c r="BB18" s="37"/>
      <c r="BC18" s="37">
        <v>0</v>
      </c>
      <c r="BD18" s="37"/>
      <c r="BE18" s="37">
        <v>0</v>
      </c>
      <c r="BF18" s="37"/>
      <c r="BG18" s="37"/>
      <c r="BH18" s="37"/>
      <c r="BI18" s="34">
        <f>SUM(AY18:BE18)+BG18</f>
        <v>0</v>
      </c>
      <c r="BJ18" s="8" t="s">
        <v>181</v>
      </c>
    </row>
    <row r="19" spans="1:61" ht="12">
      <c r="A19" s="13" t="s">
        <v>18</v>
      </c>
      <c r="C19" s="37">
        <f>G19-E19</f>
        <v>7367505</v>
      </c>
      <c r="D19" s="37"/>
      <c r="E19" s="37">
        <v>18157842</v>
      </c>
      <c r="F19" s="37"/>
      <c r="G19" s="37">
        <v>25525347</v>
      </c>
      <c r="H19" s="37"/>
      <c r="I19" s="37">
        <f>M19-K19</f>
        <v>2852301</v>
      </c>
      <c r="J19" s="37"/>
      <c r="K19" s="37">
        <f>SUM(BI19)</f>
        <v>8328149</v>
      </c>
      <c r="L19" s="37"/>
      <c r="M19" s="37">
        <v>11180450</v>
      </c>
      <c r="N19" s="37"/>
      <c r="O19" s="37">
        <v>0</v>
      </c>
      <c r="P19" s="37"/>
      <c r="Q19" s="37">
        <v>0</v>
      </c>
      <c r="R19" s="37"/>
      <c r="S19" s="37">
        <v>14344897</v>
      </c>
      <c r="T19" s="37"/>
      <c r="U19" s="37">
        <f>SUM(O19:S19)</f>
        <v>14344897</v>
      </c>
      <c r="V19" s="37"/>
      <c r="W19" s="13" t="s">
        <v>18</v>
      </c>
      <c r="X19" s="37"/>
      <c r="Y19" s="34">
        <f>182798+885217+2779618</f>
        <v>3847633</v>
      </c>
      <c r="Z19" s="34"/>
      <c r="AA19" s="34">
        <f>228902+975027+2110017-618482</f>
        <v>2695464</v>
      </c>
      <c r="AB19" s="34"/>
      <c r="AC19" s="34">
        <f>2817+19912+595753</f>
        <v>618482</v>
      </c>
      <c r="AD19" s="34"/>
      <c r="AE19" s="38">
        <f>+Y19-AA19-AC19</f>
        <v>533687</v>
      </c>
      <c r="AF19" s="38"/>
      <c r="AG19" s="38">
        <f>12478+-260991</f>
        <v>-248513</v>
      </c>
      <c r="AH19" s="38"/>
      <c r="AI19" s="34">
        <v>0</v>
      </c>
      <c r="AJ19" s="34"/>
      <c r="AK19" s="34">
        <v>0</v>
      </c>
      <c r="AL19" s="34"/>
      <c r="AM19" s="34">
        <v>0</v>
      </c>
      <c r="AN19" s="34"/>
      <c r="AO19" s="38">
        <f>+AE19+AG19+AI19-AK19+AM19</f>
        <v>285174</v>
      </c>
      <c r="AP19" s="38"/>
      <c r="AQ19" s="34">
        <f>31839+2334592</f>
        <v>2366431</v>
      </c>
      <c r="AR19" s="34"/>
      <c r="AS19" s="34">
        <v>-3555</v>
      </c>
      <c r="AT19" s="34"/>
      <c r="AU19" s="34">
        <f>+C19-I19</f>
        <v>4515204</v>
      </c>
      <c r="AV19" s="34"/>
      <c r="AW19" s="13" t="s">
        <v>18</v>
      </c>
      <c r="AX19" s="34"/>
      <c r="AY19" s="34">
        <v>826000</v>
      </c>
      <c r="AZ19" s="34"/>
      <c r="BA19" s="34">
        <f>210373+7204627</f>
        <v>7415000</v>
      </c>
      <c r="BB19" s="34"/>
      <c r="BC19" s="34">
        <v>38916</v>
      </c>
      <c r="BD19" s="34"/>
      <c r="BE19" s="34">
        <v>48233</v>
      </c>
      <c r="BF19" s="34"/>
      <c r="BG19" s="34"/>
      <c r="BH19" s="34"/>
      <c r="BI19" s="34">
        <f aca="true" t="shared" si="0" ref="BI19:BI82">SUM(AY19:BE19)-BG19</f>
        <v>8328149</v>
      </c>
    </row>
    <row r="20" spans="1:61" ht="12" hidden="1">
      <c r="A20" s="13" t="s">
        <v>99</v>
      </c>
      <c r="C20" s="37">
        <f>G20-E20</f>
        <v>0</v>
      </c>
      <c r="D20" s="37"/>
      <c r="E20" s="37"/>
      <c r="F20" s="37"/>
      <c r="G20" s="37"/>
      <c r="H20" s="37"/>
      <c r="I20" s="37">
        <f>M20-K20</f>
        <v>0</v>
      </c>
      <c r="J20" s="37"/>
      <c r="K20" s="37">
        <f>SUM(BI20)</f>
        <v>0</v>
      </c>
      <c r="L20" s="37"/>
      <c r="M20" s="37"/>
      <c r="N20" s="37"/>
      <c r="O20" s="37"/>
      <c r="P20" s="37"/>
      <c r="Q20" s="37"/>
      <c r="R20" s="37"/>
      <c r="S20" s="37"/>
      <c r="T20" s="37"/>
      <c r="U20" s="37">
        <f>SUM(O20:S20)</f>
        <v>0</v>
      </c>
      <c r="V20" s="37"/>
      <c r="W20" s="13" t="s">
        <v>99</v>
      </c>
      <c r="X20" s="37"/>
      <c r="Y20" s="34"/>
      <c r="Z20" s="34"/>
      <c r="AA20" s="34"/>
      <c r="AB20" s="34"/>
      <c r="AC20" s="34"/>
      <c r="AD20" s="34"/>
      <c r="AE20" s="38">
        <f>+Y20-AA20-AC20</f>
        <v>0</v>
      </c>
      <c r="AF20" s="38"/>
      <c r="AG20" s="38"/>
      <c r="AH20" s="38"/>
      <c r="AI20" s="34"/>
      <c r="AJ20" s="34"/>
      <c r="AK20" s="34"/>
      <c r="AL20" s="34"/>
      <c r="AM20" s="34"/>
      <c r="AN20" s="34"/>
      <c r="AO20" s="38">
        <f>+AE20+AG20+AI20-AK20+AM20</f>
        <v>0</v>
      </c>
      <c r="AP20" s="38"/>
      <c r="AQ20" s="34"/>
      <c r="AR20" s="34"/>
      <c r="AS20" s="34"/>
      <c r="AT20" s="34"/>
      <c r="AU20" s="34">
        <f>+C20-I20</f>
        <v>0</v>
      </c>
      <c r="AV20" s="34"/>
      <c r="AW20" s="13" t="s">
        <v>99</v>
      </c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>
        <f t="shared" si="0"/>
        <v>0</v>
      </c>
    </row>
    <row r="21" spans="1:61" ht="12">
      <c r="A21" s="13" t="s">
        <v>19</v>
      </c>
      <c r="C21" s="37">
        <f>G21-E21</f>
        <v>10619103</v>
      </c>
      <c r="D21" s="37"/>
      <c r="E21" s="37">
        <v>121493322</v>
      </c>
      <c r="F21" s="37"/>
      <c r="G21" s="37">
        <v>132112425</v>
      </c>
      <c r="H21" s="37"/>
      <c r="I21" s="37">
        <f>M21-K21</f>
        <v>1621913</v>
      </c>
      <c r="J21" s="37"/>
      <c r="K21" s="37">
        <v>66124438</v>
      </c>
      <c r="L21" s="37"/>
      <c r="M21" s="37">
        <v>67746351</v>
      </c>
      <c r="N21" s="37"/>
      <c r="O21" s="37">
        <v>51839567</v>
      </c>
      <c r="P21" s="37"/>
      <c r="Q21" s="37">
        <f>2938867+1489132</f>
        <v>4427999</v>
      </c>
      <c r="R21" s="37"/>
      <c r="S21" s="37">
        <v>8098508</v>
      </c>
      <c r="T21" s="37"/>
      <c r="U21" s="37">
        <f>SUM(O21:S21)</f>
        <v>64366074</v>
      </c>
      <c r="V21" s="37"/>
      <c r="W21" s="13" t="s">
        <v>19</v>
      </c>
      <c r="X21" s="37"/>
      <c r="Y21" s="37">
        <v>20300608</v>
      </c>
      <c r="Z21" s="37"/>
      <c r="AA21" s="37">
        <f>20502112-3060085</f>
        <v>17442027</v>
      </c>
      <c r="AB21" s="37"/>
      <c r="AC21" s="37">
        <v>3060085</v>
      </c>
      <c r="AD21" s="37"/>
      <c r="AE21" s="38">
        <f>+Y21-AA21-AC21</f>
        <v>-201504</v>
      </c>
      <c r="AF21" s="37"/>
      <c r="AG21" s="37">
        <v>-1515856</v>
      </c>
      <c r="AH21" s="37"/>
      <c r="AI21" s="37">
        <v>151373</v>
      </c>
      <c r="AJ21" s="37"/>
      <c r="AK21" s="37">
        <v>0</v>
      </c>
      <c r="AL21" s="37"/>
      <c r="AM21" s="37">
        <v>7014947</v>
      </c>
      <c r="AN21" s="37"/>
      <c r="AO21" s="38">
        <f>+AE21+AG21+AI21-AK21+AM21</f>
        <v>5448960</v>
      </c>
      <c r="AP21" s="37"/>
      <c r="AQ21" s="37">
        <v>4919988</v>
      </c>
      <c r="AR21" s="37"/>
      <c r="AS21" s="70" t="s">
        <v>163</v>
      </c>
      <c r="AT21" s="37"/>
      <c r="AU21" s="34">
        <f>+C21-I21</f>
        <v>8997190</v>
      </c>
      <c r="AV21" s="37"/>
      <c r="AW21" s="13" t="s">
        <v>19</v>
      </c>
      <c r="AX21" s="37"/>
      <c r="AY21" s="37">
        <v>35552419</v>
      </c>
      <c r="AZ21" s="37"/>
      <c r="BA21" s="37">
        <v>30070000</v>
      </c>
      <c r="BB21" s="37"/>
      <c r="BC21" s="37">
        <v>0</v>
      </c>
      <c r="BD21" s="37"/>
      <c r="BE21" s="37">
        <v>0</v>
      </c>
      <c r="BF21" s="37"/>
      <c r="BG21" s="37">
        <f>1215000+60000</f>
        <v>1275000</v>
      </c>
      <c r="BH21" s="37"/>
      <c r="BI21" s="34">
        <f t="shared" si="0"/>
        <v>64347419</v>
      </c>
    </row>
    <row r="22" spans="1:61" ht="12" hidden="1">
      <c r="A22" s="13" t="s">
        <v>20</v>
      </c>
      <c r="C22" s="37">
        <f>G22-E22</f>
        <v>0</v>
      </c>
      <c r="D22" s="37"/>
      <c r="E22" s="37"/>
      <c r="F22" s="37"/>
      <c r="G22" s="37"/>
      <c r="H22" s="37"/>
      <c r="I22" s="37">
        <f>M22-K22</f>
        <v>0</v>
      </c>
      <c r="J22" s="37"/>
      <c r="K22" s="37">
        <f>SUM(BI22)</f>
        <v>0</v>
      </c>
      <c r="L22" s="37"/>
      <c r="M22" s="37"/>
      <c r="N22" s="37"/>
      <c r="O22" s="37"/>
      <c r="P22" s="37"/>
      <c r="Q22" s="37"/>
      <c r="R22" s="37"/>
      <c r="S22" s="37"/>
      <c r="T22" s="37"/>
      <c r="U22" s="37">
        <f>SUM(O22:S22)</f>
        <v>0</v>
      </c>
      <c r="V22" s="37"/>
      <c r="W22" s="13" t="s">
        <v>20</v>
      </c>
      <c r="X22" s="37"/>
      <c r="Y22" s="34"/>
      <c r="Z22" s="34"/>
      <c r="AA22" s="34"/>
      <c r="AB22" s="34"/>
      <c r="AC22" s="34"/>
      <c r="AD22" s="34"/>
      <c r="AE22" s="38">
        <f>+Y22-AA22-AC22</f>
        <v>0</v>
      </c>
      <c r="AF22" s="38"/>
      <c r="AG22" s="38"/>
      <c r="AH22" s="38"/>
      <c r="AI22" s="34"/>
      <c r="AJ22" s="34"/>
      <c r="AK22" s="34"/>
      <c r="AL22" s="34"/>
      <c r="AM22" s="34"/>
      <c r="AN22" s="34"/>
      <c r="AO22" s="38">
        <f>+AE22+AG22+AI22-AK22+AM22</f>
        <v>0</v>
      </c>
      <c r="AP22" s="38"/>
      <c r="AQ22" s="34"/>
      <c r="AR22" s="34"/>
      <c r="AS22" s="70" t="s">
        <v>163</v>
      </c>
      <c r="AT22" s="34"/>
      <c r="AU22" s="34">
        <f>+C22-I22</f>
        <v>0</v>
      </c>
      <c r="AV22" s="34"/>
      <c r="AW22" s="13" t="s">
        <v>20</v>
      </c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>
        <f t="shared" si="0"/>
        <v>0</v>
      </c>
    </row>
    <row r="23" spans="1:62" ht="12" hidden="1">
      <c r="A23" s="13" t="s">
        <v>177</v>
      </c>
      <c r="C23" s="37">
        <v>0</v>
      </c>
      <c r="D23" s="37"/>
      <c r="E23" s="37">
        <v>0</v>
      </c>
      <c r="F23" s="37"/>
      <c r="G23" s="37">
        <v>0</v>
      </c>
      <c r="H23" s="37"/>
      <c r="I23" s="37">
        <v>0</v>
      </c>
      <c r="J23" s="37"/>
      <c r="K23" s="37">
        <v>0</v>
      </c>
      <c r="L23" s="37"/>
      <c r="M23" s="37">
        <v>0</v>
      </c>
      <c r="N23" s="37"/>
      <c r="O23" s="37">
        <v>0</v>
      </c>
      <c r="P23" s="37"/>
      <c r="Q23" s="37">
        <v>0</v>
      </c>
      <c r="R23" s="37"/>
      <c r="S23" s="37">
        <v>0</v>
      </c>
      <c r="T23" s="37"/>
      <c r="U23" s="37">
        <v>0</v>
      </c>
      <c r="V23" s="37"/>
      <c r="W23" s="13" t="s">
        <v>177</v>
      </c>
      <c r="X23" s="37"/>
      <c r="Y23" s="37">
        <v>0</v>
      </c>
      <c r="Z23" s="37"/>
      <c r="AA23" s="37">
        <v>0</v>
      </c>
      <c r="AB23" s="37"/>
      <c r="AC23" s="37">
        <v>0</v>
      </c>
      <c r="AD23" s="37"/>
      <c r="AE23" s="37">
        <v>0</v>
      </c>
      <c r="AF23" s="37"/>
      <c r="AG23" s="37">
        <v>0</v>
      </c>
      <c r="AH23" s="37"/>
      <c r="AI23" s="37">
        <v>0</v>
      </c>
      <c r="AJ23" s="37"/>
      <c r="AK23" s="37">
        <v>0</v>
      </c>
      <c r="AL23" s="37"/>
      <c r="AM23" s="37">
        <v>0</v>
      </c>
      <c r="AN23" s="37"/>
      <c r="AO23" s="37">
        <v>0</v>
      </c>
      <c r="AP23" s="37"/>
      <c r="AQ23" s="37">
        <v>0</v>
      </c>
      <c r="AR23" s="37"/>
      <c r="AS23" s="70" t="s">
        <v>163</v>
      </c>
      <c r="AT23" s="37"/>
      <c r="AU23" s="37">
        <v>0</v>
      </c>
      <c r="AV23" s="37"/>
      <c r="AW23" s="13" t="s">
        <v>177</v>
      </c>
      <c r="AX23" s="37"/>
      <c r="AY23" s="37">
        <v>0</v>
      </c>
      <c r="AZ23" s="37"/>
      <c r="BA23" s="37">
        <v>0</v>
      </c>
      <c r="BB23" s="37"/>
      <c r="BC23" s="37">
        <v>0</v>
      </c>
      <c r="BD23" s="37"/>
      <c r="BE23" s="37">
        <v>0</v>
      </c>
      <c r="BF23" s="37"/>
      <c r="BG23" s="37"/>
      <c r="BH23" s="37"/>
      <c r="BI23" s="34">
        <f t="shared" si="0"/>
        <v>0</v>
      </c>
      <c r="BJ23" s="8" t="s">
        <v>175</v>
      </c>
    </row>
    <row r="24" spans="1:61" ht="12">
      <c r="A24" s="13" t="s">
        <v>21</v>
      </c>
      <c r="C24" s="37">
        <f>G24-E24</f>
        <v>2383363</v>
      </c>
      <c r="D24" s="37"/>
      <c r="E24" s="37">
        <v>1192316</v>
      </c>
      <c r="F24" s="37"/>
      <c r="G24" s="37">
        <v>3575679</v>
      </c>
      <c r="H24" s="37"/>
      <c r="I24" s="37">
        <f>M24-K24</f>
        <v>1524515</v>
      </c>
      <c r="J24" s="37"/>
      <c r="K24" s="37">
        <f>SUM(BI24)</f>
        <v>54353</v>
      </c>
      <c r="L24" s="37"/>
      <c r="M24" s="37">
        <f>3575679-1996811</f>
        <v>1578868</v>
      </c>
      <c r="N24" s="37"/>
      <c r="O24" s="37">
        <v>0</v>
      </c>
      <c r="P24" s="37"/>
      <c r="Q24" s="37">
        <v>0</v>
      </c>
      <c r="R24" s="37"/>
      <c r="S24" s="37">
        <v>1996811</v>
      </c>
      <c r="T24" s="37"/>
      <c r="U24" s="37">
        <f>SUM(O24:S24)</f>
        <v>1996811</v>
      </c>
      <c r="V24" s="37"/>
      <c r="W24" s="13" t="s">
        <v>21</v>
      </c>
      <c r="X24" s="37"/>
      <c r="Y24" s="34">
        <v>1540161</v>
      </c>
      <c r="Z24" s="34"/>
      <c r="AA24" s="34">
        <v>1459905</v>
      </c>
      <c r="AB24" s="34"/>
      <c r="AC24" s="34">
        <v>80256</v>
      </c>
      <c r="AD24" s="34"/>
      <c r="AE24" s="38">
        <v>-854805</v>
      </c>
      <c r="AF24" s="38"/>
      <c r="AG24" s="38">
        <f>-870269+854805</f>
        <v>-15464</v>
      </c>
      <c r="AH24" s="38"/>
      <c r="AI24" s="34">
        <v>0</v>
      </c>
      <c r="AJ24" s="34"/>
      <c r="AK24" s="34">
        <v>0</v>
      </c>
      <c r="AL24" s="34"/>
      <c r="AM24" s="34">
        <v>0</v>
      </c>
      <c r="AN24" s="34"/>
      <c r="AO24" s="38">
        <f>+AE24+AG24+AI24-AK24+AM24</f>
        <v>-870269</v>
      </c>
      <c r="AP24" s="38"/>
      <c r="AQ24" s="70" t="s">
        <v>163</v>
      </c>
      <c r="AR24" s="34"/>
      <c r="AS24" s="70" t="s">
        <v>163</v>
      </c>
      <c r="AT24" s="34"/>
      <c r="AU24" s="34">
        <f>+C24-I24</f>
        <v>858848</v>
      </c>
      <c r="AV24" s="34"/>
      <c r="AW24" s="13" t="s">
        <v>21</v>
      </c>
      <c r="AX24" s="34"/>
      <c r="AY24" s="34">
        <v>0</v>
      </c>
      <c r="AZ24" s="34"/>
      <c r="BA24" s="34">
        <v>0</v>
      </c>
      <c r="BB24" s="34"/>
      <c r="BC24" s="34">
        <v>0</v>
      </c>
      <c r="BD24" s="34"/>
      <c r="BE24" s="34">
        <v>54353</v>
      </c>
      <c r="BF24" s="34"/>
      <c r="BG24" s="34"/>
      <c r="BH24" s="34"/>
      <c r="BI24" s="34">
        <f t="shared" si="0"/>
        <v>54353</v>
      </c>
    </row>
    <row r="25" spans="1:61" ht="12">
      <c r="A25" s="13" t="s">
        <v>194</v>
      </c>
      <c r="C25" s="37">
        <f>G25-E25</f>
        <v>32833332</v>
      </c>
      <c r="D25" s="37"/>
      <c r="E25" s="37">
        <f>238405+110695+7355508+213256+177957+56043+692329+147322+279626+84571131</f>
        <v>93842272</v>
      </c>
      <c r="F25" s="37"/>
      <c r="G25" s="37">
        <v>126675604</v>
      </c>
      <c r="H25" s="37"/>
      <c r="I25" s="37">
        <f>M25-K25</f>
        <v>525558</v>
      </c>
      <c r="J25" s="37"/>
      <c r="K25" s="37">
        <v>43352969</v>
      </c>
      <c r="L25" s="37"/>
      <c r="M25" s="37">
        <v>43878527</v>
      </c>
      <c r="N25" s="37"/>
      <c r="O25" s="37">
        <v>41736131</v>
      </c>
      <c r="P25" s="37"/>
      <c r="Q25" s="37">
        <v>7596552</v>
      </c>
      <c r="R25" s="37"/>
      <c r="S25" s="37">
        <v>33464394</v>
      </c>
      <c r="T25" s="37"/>
      <c r="U25" s="37">
        <f>SUM(O25:S25)</f>
        <v>82797077</v>
      </c>
      <c r="V25" s="37"/>
      <c r="W25" s="13" t="s">
        <v>194</v>
      </c>
      <c r="X25" s="37"/>
      <c r="Y25" s="34">
        <v>11912268</v>
      </c>
      <c r="Z25" s="34"/>
      <c r="AA25" s="34">
        <f>8485667-3304783</f>
        <v>5180884</v>
      </c>
      <c r="AB25" s="34"/>
      <c r="AC25" s="34">
        <v>3304783</v>
      </c>
      <c r="AD25" s="34"/>
      <c r="AE25" s="38">
        <f>+Y25-AA25-AC25</f>
        <v>3426601</v>
      </c>
      <c r="AF25" s="38"/>
      <c r="AG25" s="38">
        <v>-1305871</v>
      </c>
      <c r="AH25" s="38"/>
      <c r="AI25" s="34">
        <v>60000</v>
      </c>
      <c r="AJ25" s="34"/>
      <c r="AK25" s="34">
        <v>0</v>
      </c>
      <c r="AL25" s="34"/>
      <c r="AM25" s="34">
        <v>3395379</v>
      </c>
      <c r="AN25" s="34"/>
      <c r="AO25" s="38">
        <f>+AE25+AG25+AI25-AK25+AM25</f>
        <v>5576109</v>
      </c>
      <c r="AP25" s="38"/>
      <c r="AQ25" s="34">
        <v>5240052</v>
      </c>
      <c r="AR25" s="34"/>
      <c r="AS25" s="70" t="s">
        <v>163</v>
      </c>
      <c r="AT25" s="34"/>
      <c r="AU25" s="34">
        <f>+C25-I25</f>
        <v>32307774</v>
      </c>
      <c r="AV25" s="34"/>
      <c r="AW25" s="13" t="s">
        <v>194</v>
      </c>
      <c r="AX25" s="34"/>
      <c r="AY25" s="34">
        <v>0</v>
      </c>
      <c r="AZ25" s="34"/>
      <c r="BA25" s="34">
        <f>41095000+1740000</f>
        <v>42835000</v>
      </c>
      <c r="BB25" s="34"/>
      <c r="BC25" s="34">
        <v>0</v>
      </c>
      <c r="BD25" s="34"/>
      <c r="BE25" s="34">
        <v>0</v>
      </c>
      <c r="BF25" s="34"/>
      <c r="BG25" s="34">
        <v>1740000</v>
      </c>
      <c r="BH25" s="34"/>
      <c r="BI25" s="34">
        <f t="shared" si="0"/>
        <v>41095000</v>
      </c>
    </row>
    <row r="26" spans="1:62" ht="12" hidden="1">
      <c r="A26" s="13" t="s">
        <v>23</v>
      </c>
      <c r="C26" s="37">
        <v>0</v>
      </c>
      <c r="D26" s="37"/>
      <c r="E26" s="37">
        <v>0</v>
      </c>
      <c r="F26" s="37"/>
      <c r="G26" s="37">
        <v>0</v>
      </c>
      <c r="H26" s="37"/>
      <c r="I26" s="37">
        <v>0</v>
      </c>
      <c r="J26" s="37"/>
      <c r="K26" s="37">
        <v>0</v>
      </c>
      <c r="L26" s="37"/>
      <c r="M26" s="37">
        <v>0</v>
      </c>
      <c r="N26" s="37"/>
      <c r="O26" s="37">
        <v>0</v>
      </c>
      <c r="P26" s="37"/>
      <c r="Q26" s="37">
        <v>0</v>
      </c>
      <c r="R26" s="37"/>
      <c r="S26" s="37">
        <v>0</v>
      </c>
      <c r="T26" s="37"/>
      <c r="U26" s="37">
        <v>0</v>
      </c>
      <c r="V26" s="37"/>
      <c r="W26" s="13" t="s">
        <v>23</v>
      </c>
      <c r="X26" s="37"/>
      <c r="Y26" s="37">
        <v>0</v>
      </c>
      <c r="Z26" s="37"/>
      <c r="AA26" s="37">
        <v>0</v>
      </c>
      <c r="AB26" s="37"/>
      <c r="AC26" s="37">
        <v>0</v>
      </c>
      <c r="AD26" s="37"/>
      <c r="AE26" s="37">
        <v>0</v>
      </c>
      <c r="AF26" s="37"/>
      <c r="AG26" s="37">
        <v>0</v>
      </c>
      <c r="AH26" s="37"/>
      <c r="AI26" s="37">
        <v>0</v>
      </c>
      <c r="AJ26" s="37"/>
      <c r="AK26" s="37">
        <v>0</v>
      </c>
      <c r="AL26" s="37"/>
      <c r="AM26" s="37">
        <v>0</v>
      </c>
      <c r="AN26" s="37"/>
      <c r="AO26" s="37">
        <v>0</v>
      </c>
      <c r="AP26" s="37"/>
      <c r="AQ26" s="37">
        <v>0</v>
      </c>
      <c r="AR26" s="37"/>
      <c r="AS26" s="70" t="s">
        <v>163</v>
      </c>
      <c r="AT26" s="37"/>
      <c r="AU26" s="37">
        <v>0</v>
      </c>
      <c r="AV26" s="37"/>
      <c r="AW26" s="13" t="s">
        <v>23</v>
      </c>
      <c r="AX26" s="37"/>
      <c r="AY26" s="37">
        <v>0</v>
      </c>
      <c r="AZ26" s="37"/>
      <c r="BA26" s="37">
        <v>0</v>
      </c>
      <c r="BB26" s="37"/>
      <c r="BC26" s="37">
        <v>0</v>
      </c>
      <c r="BD26" s="37"/>
      <c r="BE26" s="37">
        <v>0</v>
      </c>
      <c r="BF26" s="37"/>
      <c r="BG26" s="37"/>
      <c r="BH26" s="37"/>
      <c r="BI26" s="34">
        <f t="shared" si="0"/>
        <v>0</v>
      </c>
      <c r="BJ26" s="8" t="s">
        <v>166</v>
      </c>
    </row>
    <row r="27" spans="1:62" ht="12" hidden="1">
      <c r="A27" s="13" t="s">
        <v>24</v>
      </c>
      <c r="C27" s="37">
        <v>0</v>
      </c>
      <c r="D27" s="37"/>
      <c r="E27" s="37">
        <v>0</v>
      </c>
      <c r="F27" s="37"/>
      <c r="G27" s="37">
        <v>0</v>
      </c>
      <c r="H27" s="37"/>
      <c r="I27" s="37">
        <v>0</v>
      </c>
      <c r="J27" s="37"/>
      <c r="K27" s="37">
        <v>0</v>
      </c>
      <c r="L27" s="37"/>
      <c r="M27" s="37">
        <v>0</v>
      </c>
      <c r="N27" s="37"/>
      <c r="O27" s="37">
        <v>0</v>
      </c>
      <c r="P27" s="37"/>
      <c r="Q27" s="37">
        <v>0</v>
      </c>
      <c r="R27" s="37"/>
      <c r="S27" s="37">
        <v>0</v>
      </c>
      <c r="T27" s="37"/>
      <c r="U27" s="37">
        <v>0</v>
      </c>
      <c r="V27" s="37"/>
      <c r="W27" s="13" t="s">
        <v>24</v>
      </c>
      <c r="X27" s="37"/>
      <c r="Y27" s="37">
        <v>0</v>
      </c>
      <c r="Z27" s="37"/>
      <c r="AA27" s="37">
        <v>0</v>
      </c>
      <c r="AB27" s="37"/>
      <c r="AC27" s="37">
        <v>0</v>
      </c>
      <c r="AD27" s="37"/>
      <c r="AE27" s="37">
        <v>0</v>
      </c>
      <c r="AF27" s="37"/>
      <c r="AG27" s="37">
        <v>0</v>
      </c>
      <c r="AH27" s="37"/>
      <c r="AI27" s="37">
        <v>0</v>
      </c>
      <c r="AJ27" s="37"/>
      <c r="AK27" s="37">
        <v>0</v>
      </c>
      <c r="AL27" s="37"/>
      <c r="AM27" s="37">
        <v>0</v>
      </c>
      <c r="AN27" s="37"/>
      <c r="AO27" s="37">
        <v>0</v>
      </c>
      <c r="AP27" s="37"/>
      <c r="AQ27" s="37">
        <v>0</v>
      </c>
      <c r="AR27" s="37"/>
      <c r="AS27" s="70" t="s">
        <v>163</v>
      </c>
      <c r="AT27" s="37"/>
      <c r="AU27" s="37">
        <v>0</v>
      </c>
      <c r="AV27" s="37"/>
      <c r="AW27" s="13" t="s">
        <v>24</v>
      </c>
      <c r="AX27" s="37"/>
      <c r="AY27" s="37">
        <v>0</v>
      </c>
      <c r="AZ27" s="37"/>
      <c r="BA27" s="37">
        <v>0</v>
      </c>
      <c r="BB27" s="37"/>
      <c r="BC27" s="37">
        <v>0</v>
      </c>
      <c r="BD27" s="37"/>
      <c r="BE27" s="37">
        <v>0</v>
      </c>
      <c r="BF27" s="37"/>
      <c r="BG27" s="37"/>
      <c r="BH27" s="37"/>
      <c r="BI27" s="34">
        <f t="shared" si="0"/>
        <v>0</v>
      </c>
      <c r="BJ27" s="8" t="s">
        <v>166</v>
      </c>
    </row>
    <row r="28" spans="1:61" ht="12" hidden="1">
      <c r="A28" s="13" t="s">
        <v>25</v>
      </c>
      <c r="C28" s="37">
        <f>G28-E28</f>
        <v>0</v>
      </c>
      <c r="D28" s="37"/>
      <c r="E28" s="37"/>
      <c r="F28" s="37"/>
      <c r="G28" s="37"/>
      <c r="H28" s="37"/>
      <c r="I28" s="37">
        <f>M28-K28</f>
        <v>0</v>
      </c>
      <c r="J28" s="37"/>
      <c r="K28" s="37">
        <f>SUM(BI28)</f>
        <v>0</v>
      </c>
      <c r="L28" s="37"/>
      <c r="M28" s="37"/>
      <c r="N28" s="37"/>
      <c r="O28" s="37"/>
      <c r="P28" s="37"/>
      <c r="Q28" s="37"/>
      <c r="R28" s="37"/>
      <c r="S28" s="37"/>
      <c r="T28" s="37"/>
      <c r="U28" s="37">
        <f>SUM(O28:S28)</f>
        <v>0</v>
      </c>
      <c r="V28" s="37"/>
      <c r="W28" s="13" t="s">
        <v>25</v>
      </c>
      <c r="X28" s="37"/>
      <c r="Y28" s="34"/>
      <c r="Z28" s="34"/>
      <c r="AA28" s="34"/>
      <c r="AB28" s="34"/>
      <c r="AC28" s="34"/>
      <c r="AD28" s="34"/>
      <c r="AE28" s="38">
        <f>+Y28-AA28-AC28</f>
        <v>0</v>
      </c>
      <c r="AF28" s="38"/>
      <c r="AG28" s="38"/>
      <c r="AH28" s="38"/>
      <c r="AI28" s="34"/>
      <c r="AJ28" s="34"/>
      <c r="AK28" s="34"/>
      <c r="AL28" s="34"/>
      <c r="AM28" s="34"/>
      <c r="AN28" s="34"/>
      <c r="AO28" s="38">
        <f>+AE28+AG28+AI28-AK28+AM28</f>
        <v>0</v>
      </c>
      <c r="AP28" s="38"/>
      <c r="AQ28" s="34"/>
      <c r="AR28" s="34"/>
      <c r="AS28" s="70" t="s">
        <v>163</v>
      </c>
      <c r="AT28" s="34"/>
      <c r="AU28" s="34">
        <f>+C28-I28</f>
        <v>0</v>
      </c>
      <c r="AV28" s="34"/>
      <c r="AW28" s="13" t="s">
        <v>25</v>
      </c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>
        <f t="shared" si="0"/>
        <v>0</v>
      </c>
    </row>
    <row r="29" spans="1:62" ht="12" hidden="1">
      <c r="A29" s="13" t="s">
        <v>192</v>
      </c>
      <c r="C29" s="37">
        <v>0</v>
      </c>
      <c r="D29" s="37"/>
      <c r="E29" s="37">
        <v>0</v>
      </c>
      <c r="F29" s="37"/>
      <c r="G29" s="37">
        <v>0</v>
      </c>
      <c r="H29" s="37"/>
      <c r="I29" s="37">
        <v>0</v>
      </c>
      <c r="J29" s="37"/>
      <c r="K29" s="37">
        <v>0</v>
      </c>
      <c r="L29" s="37"/>
      <c r="M29" s="37">
        <v>0</v>
      </c>
      <c r="N29" s="37"/>
      <c r="O29" s="37">
        <v>0</v>
      </c>
      <c r="P29" s="37"/>
      <c r="Q29" s="37">
        <v>0</v>
      </c>
      <c r="R29" s="37"/>
      <c r="S29" s="37">
        <v>0</v>
      </c>
      <c r="T29" s="37"/>
      <c r="U29" s="37">
        <v>0</v>
      </c>
      <c r="V29" s="37"/>
      <c r="W29" s="13" t="s">
        <v>192</v>
      </c>
      <c r="X29" s="37"/>
      <c r="Y29" s="37">
        <v>0</v>
      </c>
      <c r="Z29" s="37"/>
      <c r="AA29" s="37">
        <v>0</v>
      </c>
      <c r="AB29" s="37"/>
      <c r="AC29" s="37">
        <v>0</v>
      </c>
      <c r="AD29" s="37"/>
      <c r="AE29" s="37">
        <v>0</v>
      </c>
      <c r="AF29" s="37"/>
      <c r="AG29" s="37">
        <v>0</v>
      </c>
      <c r="AH29" s="37"/>
      <c r="AI29" s="37">
        <v>0</v>
      </c>
      <c r="AJ29" s="37"/>
      <c r="AK29" s="37">
        <v>0</v>
      </c>
      <c r="AL29" s="37"/>
      <c r="AM29" s="37">
        <v>0</v>
      </c>
      <c r="AN29" s="37"/>
      <c r="AO29" s="37">
        <v>0</v>
      </c>
      <c r="AP29" s="37"/>
      <c r="AQ29" s="37">
        <v>0</v>
      </c>
      <c r="AR29" s="37"/>
      <c r="AS29" s="70" t="s">
        <v>163</v>
      </c>
      <c r="AT29" s="37"/>
      <c r="AU29" s="37">
        <v>0</v>
      </c>
      <c r="AV29" s="37"/>
      <c r="AW29" s="13" t="s">
        <v>192</v>
      </c>
      <c r="AX29" s="37"/>
      <c r="AY29" s="37">
        <v>0</v>
      </c>
      <c r="AZ29" s="37"/>
      <c r="BA29" s="37">
        <v>0</v>
      </c>
      <c r="BB29" s="37"/>
      <c r="BC29" s="37">
        <v>0</v>
      </c>
      <c r="BD29" s="37"/>
      <c r="BE29" s="37">
        <v>0</v>
      </c>
      <c r="BF29" s="37"/>
      <c r="BG29" s="37"/>
      <c r="BH29" s="37"/>
      <c r="BI29" s="34">
        <f t="shared" si="0"/>
        <v>0</v>
      </c>
      <c r="BJ29" s="8" t="s">
        <v>178</v>
      </c>
    </row>
    <row r="30" spans="1:62" ht="12" hidden="1">
      <c r="A30" s="13" t="s">
        <v>26</v>
      </c>
      <c r="C30" s="37">
        <v>0</v>
      </c>
      <c r="D30" s="37"/>
      <c r="E30" s="37">
        <v>0</v>
      </c>
      <c r="F30" s="37"/>
      <c r="G30" s="37">
        <v>0</v>
      </c>
      <c r="H30" s="37"/>
      <c r="I30" s="37">
        <v>0</v>
      </c>
      <c r="J30" s="37"/>
      <c r="K30" s="37">
        <v>0</v>
      </c>
      <c r="L30" s="37"/>
      <c r="M30" s="37">
        <v>0</v>
      </c>
      <c r="N30" s="37"/>
      <c r="O30" s="37">
        <v>0</v>
      </c>
      <c r="P30" s="37"/>
      <c r="Q30" s="37">
        <v>0</v>
      </c>
      <c r="R30" s="37"/>
      <c r="S30" s="37">
        <v>0</v>
      </c>
      <c r="T30" s="37"/>
      <c r="U30" s="37">
        <v>0</v>
      </c>
      <c r="V30" s="37"/>
      <c r="W30" s="13" t="s">
        <v>26</v>
      </c>
      <c r="X30" s="37"/>
      <c r="Y30" s="37">
        <v>0</v>
      </c>
      <c r="Z30" s="37"/>
      <c r="AA30" s="37">
        <v>0</v>
      </c>
      <c r="AB30" s="37"/>
      <c r="AC30" s="37">
        <v>0</v>
      </c>
      <c r="AD30" s="37"/>
      <c r="AE30" s="37">
        <v>0</v>
      </c>
      <c r="AF30" s="37"/>
      <c r="AG30" s="37">
        <v>0</v>
      </c>
      <c r="AH30" s="37"/>
      <c r="AI30" s="37">
        <v>0</v>
      </c>
      <c r="AJ30" s="37"/>
      <c r="AK30" s="37">
        <v>0</v>
      </c>
      <c r="AL30" s="37"/>
      <c r="AM30" s="37">
        <v>0</v>
      </c>
      <c r="AN30" s="37"/>
      <c r="AO30" s="37">
        <v>0</v>
      </c>
      <c r="AP30" s="37"/>
      <c r="AQ30" s="37">
        <v>0</v>
      </c>
      <c r="AR30" s="37"/>
      <c r="AS30" s="70" t="s">
        <v>163</v>
      </c>
      <c r="AT30" s="37"/>
      <c r="AU30" s="37">
        <v>0</v>
      </c>
      <c r="AV30" s="37"/>
      <c r="AW30" s="13" t="s">
        <v>26</v>
      </c>
      <c r="AX30" s="37"/>
      <c r="AY30" s="37">
        <v>0</v>
      </c>
      <c r="AZ30" s="37"/>
      <c r="BA30" s="37">
        <v>0</v>
      </c>
      <c r="BB30" s="37"/>
      <c r="BC30" s="37">
        <v>0</v>
      </c>
      <c r="BD30" s="37"/>
      <c r="BE30" s="37">
        <v>0</v>
      </c>
      <c r="BF30" s="37"/>
      <c r="BG30" s="37"/>
      <c r="BH30" s="37"/>
      <c r="BI30" s="34">
        <f t="shared" si="0"/>
        <v>0</v>
      </c>
      <c r="BJ30" s="8" t="s">
        <v>166</v>
      </c>
    </row>
    <row r="31" spans="1:61" ht="12" hidden="1">
      <c r="A31" s="13" t="s">
        <v>27</v>
      </c>
      <c r="C31" s="37">
        <v>0</v>
      </c>
      <c r="D31" s="37"/>
      <c r="E31" s="37">
        <v>0</v>
      </c>
      <c r="F31" s="37"/>
      <c r="G31" s="37">
        <v>0</v>
      </c>
      <c r="H31" s="37"/>
      <c r="I31" s="37">
        <v>0</v>
      </c>
      <c r="J31" s="37"/>
      <c r="K31" s="37">
        <v>0</v>
      </c>
      <c r="L31" s="37"/>
      <c r="M31" s="37">
        <v>0</v>
      </c>
      <c r="N31" s="37"/>
      <c r="O31" s="37">
        <v>0</v>
      </c>
      <c r="P31" s="37"/>
      <c r="Q31" s="37">
        <v>0</v>
      </c>
      <c r="R31" s="37"/>
      <c r="S31" s="37">
        <v>0</v>
      </c>
      <c r="T31" s="37"/>
      <c r="U31" s="37">
        <v>0</v>
      </c>
      <c r="V31" s="37"/>
      <c r="W31" s="13" t="s">
        <v>27</v>
      </c>
      <c r="X31" s="37"/>
      <c r="Y31" s="37">
        <v>0</v>
      </c>
      <c r="Z31" s="37"/>
      <c r="AA31" s="37">
        <v>0</v>
      </c>
      <c r="AB31" s="37"/>
      <c r="AC31" s="37">
        <v>0</v>
      </c>
      <c r="AD31" s="37"/>
      <c r="AE31" s="37">
        <v>0</v>
      </c>
      <c r="AF31" s="37"/>
      <c r="AG31" s="37">
        <v>0</v>
      </c>
      <c r="AH31" s="37"/>
      <c r="AI31" s="37">
        <v>0</v>
      </c>
      <c r="AJ31" s="37"/>
      <c r="AK31" s="37">
        <v>0</v>
      </c>
      <c r="AL31" s="37"/>
      <c r="AM31" s="37">
        <v>0</v>
      </c>
      <c r="AN31" s="37"/>
      <c r="AO31" s="37">
        <v>0</v>
      </c>
      <c r="AP31" s="37"/>
      <c r="AQ31" s="37">
        <v>0</v>
      </c>
      <c r="AR31" s="37"/>
      <c r="AS31" s="70" t="s">
        <v>163</v>
      </c>
      <c r="AT31" s="37"/>
      <c r="AU31" s="37">
        <v>0</v>
      </c>
      <c r="AV31" s="37"/>
      <c r="AW31" s="13" t="s">
        <v>27</v>
      </c>
      <c r="AX31" s="37"/>
      <c r="AY31" s="37">
        <v>0</v>
      </c>
      <c r="AZ31" s="37"/>
      <c r="BA31" s="37">
        <v>0</v>
      </c>
      <c r="BB31" s="37"/>
      <c r="BC31" s="37">
        <v>0</v>
      </c>
      <c r="BD31" s="37"/>
      <c r="BE31" s="37">
        <v>0</v>
      </c>
      <c r="BF31" s="37"/>
      <c r="BG31" s="37"/>
      <c r="BH31" s="37"/>
      <c r="BI31" s="34">
        <f t="shared" si="0"/>
        <v>0</v>
      </c>
    </row>
    <row r="32" spans="1:61" ht="12" hidden="1">
      <c r="A32" s="13" t="s">
        <v>28</v>
      </c>
      <c r="C32" s="37">
        <v>0</v>
      </c>
      <c r="D32" s="37"/>
      <c r="E32" s="37">
        <v>0</v>
      </c>
      <c r="F32" s="37"/>
      <c r="G32" s="37">
        <v>0</v>
      </c>
      <c r="H32" s="37"/>
      <c r="I32" s="37">
        <v>0</v>
      </c>
      <c r="J32" s="37"/>
      <c r="K32" s="37">
        <v>0</v>
      </c>
      <c r="L32" s="37"/>
      <c r="M32" s="37">
        <v>0</v>
      </c>
      <c r="N32" s="37"/>
      <c r="O32" s="37">
        <v>0</v>
      </c>
      <c r="P32" s="37"/>
      <c r="Q32" s="37">
        <v>0</v>
      </c>
      <c r="R32" s="37"/>
      <c r="S32" s="37">
        <v>0</v>
      </c>
      <c r="T32" s="37"/>
      <c r="U32" s="37">
        <v>0</v>
      </c>
      <c r="V32" s="37"/>
      <c r="W32" s="13" t="s">
        <v>28</v>
      </c>
      <c r="X32" s="37"/>
      <c r="Y32" s="37">
        <v>0</v>
      </c>
      <c r="Z32" s="37"/>
      <c r="AA32" s="37">
        <v>0</v>
      </c>
      <c r="AB32" s="37"/>
      <c r="AC32" s="37">
        <v>0</v>
      </c>
      <c r="AD32" s="37"/>
      <c r="AE32" s="37">
        <v>0</v>
      </c>
      <c r="AF32" s="37"/>
      <c r="AG32" s="37">
        <v>0</v>
      </c>
      <c r="AH32" s="37"/>
      <c r="AI32" s="37">
        <v>0</v>
      </c>
      <c r="AJ32" s="37"/>
      <c r="AK32" s="37">
        <v>0</v>
      </c>
      <c r="AL32" s="37"/>
      <c r="AM32" s="37">
        <v>0</v>
      </c>
      <c r="AN32" s="37"/>
      <c r="AO32" s="37">
        <v>0</v>
      </c>
      <c r="AP32" s="37"/>
      <c r="AQ32" s="37">
        <v>0</v>
      </c>
      <c r="AR32" s="37"/>
      <c r="AS32" s="70" t="s">
        <v>163</v>
      </c>
      <c r="AT32" s="37"/>
      <c r="AU32" s="37">
        <v>0</v>
      </c>
      <c r="AV32" s="37"/>
      <c r="AW32" s="13" t="s">
        <v>28</v>
      </c>
      <c r="AX32" s="37"/>
      <c r="AY32" s="37">
        <v>0</v>
      </c>
      <c r="AZ32" s="37"/>
      <c r="BA32" s="37">
        <v>0</v>
      </c>
      <c r="BB32" s="37"/>
      <c r="BC32" s="37">
        <v>0</v>
      </c>
      <c r="BD32" s="37"/>
      <c r="BE32" s="37">
        <v>0</v>
      </c>
      <c r="BF32" s="37"/>
      <c r="BG32" s="37"/>
      <c r="BH32" s="37"/>
      <c r="BI32" s="34">
        <f t="shared" si="0"/>
        <v>0</v>
      </c>
    </row>
    <row r="33" spans="1:61" ht="12" hidden="1">
      <c r="A33" s="13" t="s">
        <v>29</v>
      </c>
      <c r="C33" s="37">
        <v>0</v>
      </c>
      <c r="D33" s="37"/>
      <c r="E33" s="37">
        <v>0</v>
      </c>
      <c r="F33" s="37"/>
      <c r="G33" s="37">
        <v>0</v>
      </c>
      <c r="H33" s="37"/>
      <c r="I33" s="37">
        <v>0</v>
      </c>
      <c r="J33" s="37"/>
      <c r="K33" s="37">
        <v>0</v>
      </c>
      <c r="L33" s="37"/>
      <c r="M33" s="37">
        <v>0</v>
      </c>
      <c r="N33" s="37"/>
      <c r="O33" s="37">
        <v>0</v>
      </c>
      <c r="P33" s="37"/>
      <c r="Q33" s="37">
        <v>0</v>
      </c>
      <c r="R33" s="37"/>
      <c r="S33" s="37">
        <v>0</v>
      </c>
      <c r="T33" s="37"/>
      <c r="U33" s="37">
        <v>0</v>
      </c>
      <c r="V33" s="37"/>
      <c r="W33" s="13" t="s">
        <v>29</v>
      </c>
      <c r="X33" s="37"/>
      <c r="Y33" s="37">
        <v>0</v>
      </c>
      <c r="Z33" s="37"/>
      <c r="AA33" s="37">
        <v>0</v>
      </c>
      <c r="AB33" s="37"/>
      <c r="AC33" s="37">
        <v>0</v>
      </c>
      <c r="AD33" s="37"/>
      <c r="AE33" s="37">
        <v>0</v>
      </c>
      <c r="AF33" s="37"/>
      <c r="AG33" s="37">
        <v>0</v>
      </c>
      <c r="AH33" s="37"/>
      <c r="AI33" s="37">
        <v>0</v>
      </c>
      <c r="AJ33" s="37"/>
      <c r="AK33" s="37">
        <v>0</v>
      </c>
      <c r="AL33" s="37"/>
      <c r="AM33" s="37">
        <v>0</v>
      </c>
      <c r="AN33" s="37"/>
      <c r="AO33" s="37">
        <v>0</v>
      </c>
      <c r="AP33" s="37"/>
      <c r="AQ33" s="37">
        <v>0</v>
      </c>
      <c r="AR33" s="37"/>
      <c r="AS33" s="70" t="s">
        <v>163</v>
      </c>
      <c r="AT33" s="37"/>
      <c r="AU33" s="37">
        <v>0</v>
      </c>
      <c r="AV33" s="37"/>
      <c r="AW33" s="13" t="s">
        <v>29</v>
      </c>
      <c r="AX33" s="37"/>
      <c r="AY33" s="37">
        <v>0</v>
      </c>
      <c r="AZ33" s="37"/>
      <c r="BA33" s="37">
        <v>0</v>
      </c>
      <c r="BB33" s="37"/>
      <c r="BC33" s="37">
        <v>0</v>
      </c>
      <c r="BD33" s="37"/>
      <c r="BE33" s="37">
        <v>0</v>
      </c>
      <c r="BF33" s="37"/>
      <c r="BG33" s="37"/>
      <c r="BH33" s="37"/>
      <c r="BI33" s="34">
        <f t="shared" si="0"/>
        <v>0</v>
      </c>
    </row>
    <row r="34" spans="1:61" ht="12">
      <c r="A34" s="13" t="s">
        <v>30</v>
      </c>
      <c r="C34" s="37">
        <f>G34-E34</f>
        <v>3306420</v>
      </c>
      <c r="D34" s="37"/>
      <c r="E34" s="37">
        <f>30064036+1530900</f>
        <v>31594936</v>
      </c>
      <c r="F34" s="37"/>
      <c r="G34" s="37">
        <v>34901356</v>
      </c>
      <c r="H34" s="37"/>
      <c r="I34" s="37">
        <f>M34-K34</f>
        <v>1160518</v>
      </c>
      <c r="J34" s="37"/>
      <c r="K34" s="37">
        <f>SUM(BI34)</f>
        <v>10839070</v>
      </c>
      <c r="L34" s="37"/>
      <c r="M34" s="37">
        <v>11999588</v>
      </c>
      <c r="N34" s="37"/>
      <c r="O34" s="37">
        <v>0</v>
      </c>
      <c r="P34" s="37"/>
      <c r="Q34" s="37">
        <v>0</v>
      </c>
      <c r="R34" s="37"/>
      <c r="S34" s="37">
        <v>22901768</v>
      </c>
      <c r="T34" s="37"/>
      <c r="U34" s="37">
        <f>SUM(O34:S34)</f>
        <v>22901768</v>
      </c>
      <c r="V34" s="37"/>
      <c r="W34" s="13" t="s">
        <v>30</v>
      </c>
      <c r="X34" s="37"/>
      <c r="Y34" s="34">
        <v>7513447</v>
      </c>
      <c r="Z34" s="34"/>
      <c r="AA34" s="34">
        <f>4373902-733613</f>
        <v>3640289</v>
      </c>
      <c r="AB34" s="34"/>
      <c r="AC34" s="34">
        <v>733613</v>
      </c>
      <c r="AD34" s="34"/>
      <c r="AE34" s="38">
        <f>+Y34-AA34-AC34</f>
        <v>3139545</v>
      </c>
      <c r="AF34" s="38"/>
      <c r="AG34" s="38">
        <f>5583821-614976</f>
        <v>4968845</v>
      </c>
      <c r="AH34" s="38"/>
      <c r="AI34" s="34">
        <v>0</v>
      </c>
      <c r="AJ34" s="34"/>
      <c r="AK34" s="34">
        <v>0</v>
      </c>
      <c r="AL34" s="34"/>
      <c r="AM34" s="34">
        <v>91307</v>
      </c>
      <c r="AN34" s="34"/>
      <c r="AO34" s="38">
        <f>+AE34+AG34+AI34-AK34+AM34</f>
        <v>8199697</v>
      </c>
      <c r="AP34" s="38"/>
      <c r="AQ34" s="34">
        <v>7844490</v>
      </c>
      <c r="AR34" s="34"/>
      <c r="AS34" s="70" t="s">
        <v>163</v>
      </c>
      <c r="AT34" s="34"/>
      <c r="AU34" s="34">
        <f>+C34-I34</f>
        <v>2145902</v>
      </c>
      <c r="AV34" s="34"/>
      <c r="AW34" s="13" t="s">
        <v>30</v>
      </c>
      <c r="AX34" s="34"/>
      <c r="AY34" s="34">
        <v>8972780</v>
      </c>
      <c r="AZ34" s="34"/>
      <c r="BA34" s="34">
        <v>0</v>
      </c>
      <c r="BB34" s="34"/>
      <c r="BC34" s="34">
        <f>1701088+165202</f>
        <v>1866290</v>
      </c>
      <c r="BD34" s="34"/>
      <c r="BE34" s="34">
        <v>0</v>
      </c>
      <c r="BF34" s="34"/>
      <c r="BG34" s="34"/>
      <c r="BH34" s="34"/>
      <c r="BI34" s="34">
        <f t="shared" si="0"/>
        <v>10839070</v>
      </c>
    </row>
    <row r="35" spans="1:61" ht="12">
      <c r="A35" s="13" t="s">
        <v>31</v>
      </c>
      <c r="C35" s="37">
        <f>G35-E35</f>
        <v>6041233</v>
      </c>
      <c r="D35" s="37"/>
      <c r="E35" s="37">
        <v>24291375</v>
      </c>
      <c r="F35" s="37"/>
      <c r="G35" s="37">
        <v>30332608</v>
      </c>
      <c r="H35" s="37"/>
      <c r="I35" s="37">
        <f>M35-K35</f>
        <v>8730850</v>
      </c>
      <c r="J35" s="37"/>
      <c r="K35" s="37">
        <f>SUM(BI35)</f>
        <v>4975138</v>
      </c>
      <c r="L35" s="37"/>
      <c r="M35" s="37">
        <v>13705988</v>
      </c>
      <c r="N35" s="37"/>
      <c r="O35" s="37">
        <v>0</v>
      </c>
      <c r="P35" s="37"/>
      <c r="Q35" s="37">
        <v>0</v>
      </c>
      <c r="R35" s="37"/>
      <c r="S35" s="37">
        <v>16626620</v>
      </c>
      <c r="T35" s="37"/>
      <c r="U35" s="37">
        <f>SUM(O35:S35)</f>
        <v>16626620</v>
      </c>
      <c r="V35" s="37"/>
      <c r="W35" s="13" t="s">
        <v>31</v>
      </c>
      <c r="X35" s="37"/>
      <c r="Y35" s="34">
        <v>2034053</v>
      </c>
      <c r="Z35" s="34"/>
      <c r="AA35" s="34">
        <f>1512948-502645</f>
        <v>1010303</v>
      </c>
      <c r="AB35" s="34"/>
      <c r="AC35" s="34">
        <v>502645</v>
      </c>
      <c r="AD35" s="34"/>
      <c r="AE35" s="38">
        <f>+Y35-AA35-AC35</f>
        <v>521105</v>
      </c>
      <c r="AF35" s="38"/>
      <c r="AG35" s="38">
        <v>277928</v>
      </c>
      <c r="AH35" s="38"/>
      <c r="AI35" s="34">
        <v>2500</v>
      </c>
      <c r="AJ35" s="34"/>
      <c r="AK35" s="34">
        <v>1022</v>
      </c>
      <c r="AL35" s="34"/>
      <c r="AM35" s="34">
        <v>0</v>
      </c>
      <c r="AN35" s="34"/>
      <c r="AO35" s="38">
        <f>+AE35+AG35+AI35-AK35+AM35</f>
        <v>800511</v>
      </c>
      <c r="AP35" s="38"/>
      <c r="AQ35" s="70" t="s">
        <v>163</v>
      </c>
      <c r="AR35" s="34"/>
      <c r="AS35" s="70" t="s">
        <v>163</v>
      </c>
      <c r="AT35" s="34"/>
      <c r="AU35" s="34">
        <f>+C35-I35</f>
        <v>-2689617</v>
      </c>
      <c r="AV35" s="34"/>
      <c r="AW35" s="13" t="s">
        <v>31</v>
      </c>
      <c r="AX35" s="34"/>
      <c r="AY35" s="34">
        <v>4947500</v>
      </c>
      <c r="AZ35" s="34"/>
      <c r="BA35" s="34">
        <v>0</v>
      </c>
      <c r="BB35" s="34"/>
      <c r="BC35" s="34">
        <v>0</v>
      </c>
      <c r="BD35" s="34"/>
      <c r="BE35" s="34">
        <f>22142+5496</f>
        <v>27638</v>
      </c>
      <c r="BF35" s="34"/>
      <c r="BG35" s="34"/>
      <c r="BH35" s="34"/>
      <c r="BI35" s="34">
        <f t="shared" si="0"/>
        <v>4975138</v>
      </c>
    </row>
    <row r="36" spans="1:62" ht="12" hidden="1">
      <c r="A36" s="13" t="s">
        <v>32</v>
      </c>
      <c r="C36" s="37">
        <v>0</v>
      </c>
      <c r="D36" s="37"/>
      <c r="E36" s="37">
        <v>0</v>
      </c>
      <c r="F36" s="37"/>
      <c r="G36" s="37">
        <v>0</v>
      </c>
      <c r="H36" s="37"/>
      <c r="I36" s="37">
        <v>0</v>
      </c>
      <c r="J36" s="37"/>
      <c r="K36" s="37">
        <v>0</v>
      </c>
      <c r="L36" s="37"/>
      <c r="M36" s="37">
        <v>0</v>
      </c>
      <c r="N36" s="37"/>
      <c r="O36" s="37">
        <v>0</v>
      </c>
      <c r="P36" s="37"/>
      <c r="Q36" s="37">
        <v>0</v>
      </c>
      <c r="R36" s="37"/>
      <c r="S36" s="37">
        <v>0</v>
      </c>
      <c r="T36" s="37"/>
      <c r="U36" s="37">
        <v>0</v>
      </c>
      <c r="V36" s="37"/>
      <c r="W36" s="13" t="s">
        <v>32</v>
      </c>
      <c r="X36" s="37"/>
      <c r="Y36" s="37">
        <v>0</v>
      </c>
      <c r="Z36" s="37"/>
      <c r="AA36" s="37">
        <v>0</v>
      </c>
      <c r="AB36" s="37"/>
      <c r="AC36" s="37">
        <v>0</v>
      </c>
      <c r="AD36" s="37"/>
      <c r="AE36" s="37">
        <v>0</v>
      </c>
      <c r="AF36" s="37"/>
      <c r="AG36" s="37">
        <v>0</v>
      </c>
      <c r="AH36" s="37"/>
      <c r="AI36" s="37">
        <v>0</v>
      </c>
      <c r="AJ36" s="37"/>
      <c r="AK36" s="37">
        <v>0</v>
      </c>
      <c r="AL36" s="37"/>
      <c r="AM36" s="37">
        <v>0</v>
      </c>
      <c r="AN36" s="37"/>
      <c r="AO36" s="37">
        <v>0</v>
      </c>
      <c r="AP36" s="37"/>
      <c r="AQ36" s="70" t="s">
        <v>163</v>
      </c>
      <c r="AR36" s="37"/>
      <c r="AS36" s="70" t="s">
        <v>163</v>
      </c>
      <c r="AT36" s="37"/>
      <c r="AU36" s="37">
        <v>0</v>
      </c>
      <c r="AV36" s="37"/>
      <c r="AW36" s="13" t="s">
        <v>32</v>
      </c>
      <c r="AX36" s="37"/>
      <c r="AY36" s="37">
        <v>0</v>
      </c>
      <c r="AZ36" s="37"/>
      <c r="BA36" s="37">
        <v>0</v>
      </c>
      <c r="BB36" s="37"/>
      <c r="BC36" s="37">
        <v>0</v>
      </c>
      <c r="BD36" s="37"/>
      <c r="BE36" s="37">
        <v>0</v>
      </c>
      <c r="BF36" s="37"/>
      <c r="BG36" s="37"/>
      <c r="BH36" s="37"/>
      <c r="BI36" s="34">
        <f t="shared" si="0"/>
        <v>0</v>
      </c>
      <c r="BJ36" s="8" t="s">
        <v>182</v>
      </c>
    </row>
    <row r="37" spans="1:62" ht="12" hidden="1">
      <c r="A37" s="13" t="s">
        <v>33</v>
      </c>
      <c r="C37" s="37">
        <v>0</v>
      </c>
      <c r="D37" s="37"/>
      <c r="E37" s="37">
        <v>0</v>
      </c>
      <c r="F37" s="37"/>
      <c r="G37" s="37">
        <v>0</v>
      </c>
      <c r="H37" s="37"/>
      <c r="I37" s="37">
        <v>0</v>
      </c>
      <c r="J37" s="37"/>
      <c r="K37" s="37">
        <v>0</v>
      </c>
      <c r="L37" s="37"/>
      <c r="M37" s="37">
        <v>0</v>
      </c>
      <c r="N37" s="37"/>
      <c r="O37" s="37">
        <v>0</v>
      </c>
      <c r="P37" s="37"/>
      <c r="Q37" s="37">
        <v>0</v>
      </c>
      <c r="R37" s="37"/>
      <c r="S37" s="37">
        <v>0</v>
      </c>
      <c r="T37" s="37"/>
      <c r="U37" s="37">
        <v>0</v>
      </c>
      <c r="V37" s="37"/>
      <c r="W37" s="13" t="s">
        <v>33</v>
      </c>
      <c r="X37" s="37"/>
      <c r="Y37" s="37">
        <v>0</v>
      </c>
      <c r="Z37" s="37"/>
      <c r="AA37" s="37">
        <v>0</v>
      </c>
      <c r="AB37" s="37"/>
      <c r="AC37" s="37">
        <v>0</v>
      </c>
      <c r="AD37" s="37"/>
      <c r="AE37" s="37">
        <v>0</v>
      </c>
      <c r="AF37" s="37"/>
      <c r="AG37" s="37">
        <v>0</v>
      </c>
      <c r="AH37" s="37"/>
      <c r="AI37" s="37">
        <v>0</v>
      </c>
      <c r="AJ37" s="37"/>
      <c r="AK37" s="37">
        <v>0</v>
      </c>
      <c r="AL37" s="37"/>
      <c r="AM37" s="37">
        <v>0</v>
      </c>
      <c r="AN37" s="37"/>
      <c r="AO37" s="37">
        <v>0</v>
      </c>
      <c r="AP37" s="37"/>
      <c r="AQ37" s="70" t="s">
        <v>163</v>
      </c>
      <c r="AR37" s="37"/>
      <c r="AS37" s="70" t="s">
        <v>163</v>
      </c>
      <c r="AT37" s="37"/>
      <c r="AU37" s="37">
        <v>0</v>
      </c>
      <c r="AV37" s="37"/>
      <c r="AW37" s="13" t="s">
        <v>33</v>
      </c>
      <c r="AX37" s="37"/>
      <c r="AY37" s="37">
        <v>0</v>
      </c>
      <c r="AZ37" s="37"/>
      <c r="BA37" s="37">
        <v>0</v>
      </c>
      <c r="BB37" s="37"/>
      <c r="BC37" s="37">
        <v>0</v>
      </c>
      <c r="BD37" s="37"/>
      <c r="BE37" s="37">
        <v>0</v>
      </c>
      <c r="BF37" s="37"/>
      <c r="BG37" s="37"/>
      <c r="BH37" s="37"/>
      <c r="BI37" s="34">
        <f t="shared" si="0"/>
        <v>0</v>
      </c>
      <c r="BJ37" s="8" t="s">
        <v>182</v>
      </c>
    </row>
    <row r="38" spans="1:61" ht="12">
      <c r="A38" s="13" t="s">
        <v>34</v>
      </c>
      <c r="C38" s="37">
        <f>G38-E38</f>
        <v>1155550</v>
      </c>
      <c r="D38" s="37"/>
      <c r="E38" s="37">
        <f>+G38-1155550</f>
        <v>15044844</v>
      </c>
      <c r="F38" s="37"/>
      <c r="G38" s="37">
        <v>16200394</v>
      </c>
      <c r="H38" s="37"/>
      <c r="I38" s="37">
        <f>M38-K38</f>
        <v>169814</v>
      </c>
      <c r="J38" s="37"/>
      <c r="K38" s="37">
        <v>9556154</v>
      </c>
      <c r="L38" s="37"/>
      <c r="M38" s="37">
        <f>16200394-6474426</f>
        <v>9725968</v>
      </c>
      <c r="N38" s="37"/>
      <c r="O38" s="37">
        <v>0</v>
      </c>
      <c r="P38" s="37"/>
      <c r="Q38" s="37">
        <v>0</v>
      </c>
      <c r="R38" s="37"/>
      <c r="S38" s="37">
        <v>6474426</v>
      </c>
      <c r="T38" s="37"/>
      <c r="U38" s="37">
        <f>SUM(O38:S38)</f>
        <v>6474426</v>
      </c>
      <c r="V38" s="37"/>
      <c r="W38" s="13" t="s">
        <v>34</v>
      </c>
      <c r="X38" s="37"/>
      <c r="Y38" s="34">
        <v>0</v>
      </c>
      <c r="Z38" s="34"/>
      <c r="AA38" s="34">
        <v>0</v>
      </c>
      <c r="AB38" s="34"/>
      <c r="AC38" s="34">
        <v>0</v>
      </c>
      <c r="AD38" s="34"/>
      <c r="AE38" s="38">
        <f>+Y38-AA38-AC38</f>
        <v>0</v>
      </c>
      <c r="AF38" s="38"/>
      <c r="AG38" s="38">
        <v>0</v>
      </c>
      <c r="AH38" s="38"/>
      <c r="AI38" s="34">
        <v>0</v>
      </c>
      <c r="AJ38" s="34"/>
      <c r="AK38" s="34">
        <v>0</v>
      </c>
      <c r="AL38" s="34"/>
      <c r="AM38" s="34">
        <v>0</v>
      </c>
      <c r="AN38" s="34"/>
      <c r="AO38" s="38">
        <f>+AE38+AG38+AI38-AK38+AM38</f>
        <v>0</v>
      </c>
      <c r="AP38" s="38"/>
      <c r="AQ38" s="70" t="s">
        <v>163</v>
      </c>
      <c r="AR38" s="34"/>
      <c r="AS38" s="70" t="s">
        <v>163</v>
      </c>
      <c r="AT38" s="34"/>
      <c r="AU38" s="34">
        <f>+C38-I38</f>
        <v>985736</v>
      </c>
      <c r="AV38" s="34"/>
      <c r="AW38" s="13" t="s">
        <v>34</v>
      </c>
      <c r="AX38" s="34"/>
      <c r="AY38" s="34">
        <v>0</v>
      </c>
      <c r="AZ38" s="34"/>
      <c r="BA38" s="34">
        <v>0</v>
      </c>
      <c r="BB38" s="34"/>
      <c r="BC38" s="34">
        <f>8974988+148385+190780</f>
        <v>9314153</v>
      </c>
      <c r="BD38" s="34"/>
      <c r="BE38" s="34">
        <v>240000</v>
      </c>
      <c r="BF38" s="34"/>
      <c r="BG38" s="34"/>
      <c r="BH38" s="34"/>
      <c r="BI38" s="34">
        <f t="shared" si="0"/>
        <v>9554153</v>
      </c>
    </row>
    <row r="39" spans="1:62" ht="12" hidden="1">
      <c r="A39" s="13" t="s">
        <v>35</v>
      </c>
      <c r="C39" s="37">
        <v>0</v>
      </c>
      <c r="D39" s="37"/>
      <c r="E39" s="37">
        <v>0</v>
      </c>
      <c r="F39" s="37"/>
      <c r="G39" s="37">
        <v>0</v>
      </c>
      <c r="H39" s="37"/>
      <c r="I39" s="37">
        <v>0</v>
      </c>
      <c r="J39" s="37"/>
      <c r="K39" s="37">
        <v>0</v>
      </c>
      <c r="L39" s="37"/>
      <c r="M39" s="37">
        <v>0</v>
      </c>
      <c r="N39" s="37"/>
      <c r="O39" s="37">
        <v>0</v>
      </c>
      <c r="P39" s="37"/>
      <c r="Q39" s="37">
        <v>0</v>
      </c>
      <c r="R39" s="37"/>
      <c r="S39" s="37">
        <v>0</v>
      </c>
      <c r="T39" s="37"/>
      <c r="U39" s="37">
        <v>0</v>
      </c>
      <c r="V39" s="37"/>
      <c r="W39" s="13" t="s">
        <v>35</v>
      </c>
      <c r="X39" s="37"/>
      <c r="Y39" s="37">
        <v>0</v>
      </c>
      <c r="Z39" s="37"/>
      <c r="AA39" s="37">
        <v>0</v>
      </c>
      <c r="AB39" s="37"/>
      <c r="AC39" s="37">
        <v>0</v>
      </c>
      <c r="AD39" s="37"/>
      <c r="AE39" s="37">
        <v>0</v>
      </c>
      <c r="AF39" s="37"/>
      <c r="AG39" s="37">
        <v>0</v>
      </c>
      <c r="AH39" s="37"/>
      <c r="AI39" s="37">
        <v>0</v>
      </c>
      <c r="AJ39" s="37"/>
      <c r="AK39" s="37">
        <v>0</v>
      </c>
      <c r="AL39" s="37"/>
      <c r="AM39" s="37">
        <v>0</v>
      </c>
      <c r="AN39" s="37"/>
      <c r="AO39" s="37">
        <v>0</v>
      </c>
      <c r="AP39" s="37"/>
      <c r="AQ39" s="70" t="s">
        <v>163</v>
      </c>
      <c r="AR39" s="37"/>
      <c r="AS39" s="70" t="s">
        <v>163</v>
      </c>
      <c r="AT39" s="37"/>
      <c r="AU39" s="37">
        <v>0</v>
      </c>
      <c r="AV39" s="37"/>
      <c r="AW39" s="13" t="s">
        <v>35</v>
      </c>
      <c r="AX39" s="37"/>
      <c r="AY39" s="37">
        <v>0</v>
      </c>
      <c r="AZ39" s="37"/>
      <c r="BA39" s="37">
        <v>0</v>
      </c>
      <c r="BB39" s="37"/>
      <c r="BC39" s="37">
        <v>0</v>
      </c>
      <c r="BD39" s="37"/>
      <c r="BE39" s="37">
        <v>0</v>
      </c>
      <c r="BF39" s="37"/>
      <c r="BG39" s="37"/>
      <c r="BH39" s="37"/>
      <c r="BI39" s="34">
        <f t="shared" si="0"/>
        <v>0</v>
      </c>
      <c r="BJ39" s="8" t="s">
        <v>183</v>
      </c>
    </row>
    <row r="40" spans="1:61" ht="12">
      <c r="A40" s="13" t="s">
        <v>36</v>
      </c>
      <c r="C40" s="37">
        <f>G40-E40</f>
        <v>4362883</v>
      </c>
      <c r="D40" s="37"/>
      <c r="E40" s="37">
        <v>17690514</v>
      </c>
      <c r="F40" s="37"/>
      <c r="G40" s="37">
        <v>22053397</v>
      </c>
      <c r="H40" s="37"/>
      <c r="I40" s="37">
        <f>M40-K40</f>
        <v>739057</v>
      </c>
      <c r="J40" s="37"/>
      <c r="K40" s="37">
        <f>SUM(BI40)</f>
        <v>8847653</v>
      </c>
      <c r="L40" s="37"/>
      <c r="M40" s="37">
        <v>9586710</v>
      </c>
      <c r="N40" s="37"/>
      <c r="O40" s="37">
        <v>8655301</v>
      </c>
      <c r="P40" s="37"/>
      <c r="Q40" s="37">
        <v>0</v>
      </c>
      <c r="R40" s="37"/>
      <c r="S40" s="37">
        <v>3811386</v>
      </c>
      <c r="T40" s="37"/>
      <c r="U40" s="37">
        <f>SUM(O40:S40)</f>
        <v>12466687</v>
      </c>
      <c r="V40" s="37"/>
      <c r="W40" s="13" t="s">
        <v>36</v>
      </c>
      <c r="X40" s="37"/>
      <c r="Y40" s="34">
        <v>4580372</v>
      </c>
      <c r="Z40" s="34"/>
      <c r="AA40" s="34">
        <f>7368317-2710262</f>
        <v>4658055</v>
      </c>
      <c r="AB40" s="34"/>
      <c r="AC40" s="34">
        <v>2710262</v>
      </c>
      <c r="AD40" s="34"/>
      <c r="AE40" s="38">
        <f>+Y40-AA40-AC40</f>
        <v>-2787945</v>
      </c>
      <c r="AF40" s="38"/>
      <c r="AG40" s="38">
        <v>440812</v>
      </c>
      <c r="AH40" s="38"/>
      <c r="AI40" s="34">
        <v>87133</v>
      </c>
      <c r="AJ40" s="34"/>
      <c r="AK40" s="34">
        <v>1190</v>
      </c>
      <c r="AL40" s="34"/>
      <c r="AM40" s="34">
        <v>0</v>
      </c>
      <c r="AN40" s="34"/>
      <c r="AO40" s="38">
        <f>+AE40+AG40+AI40-AK40+AM40</f>
        <v>-2261190</v>
      </c>
      <c r="AP40" s="38"/>
      <c r="AQ40" s="70" t="s">
        <v>163</v>
      </c>
      <c r="AR40" s="34"/>
      <c r="AS40" s="70" t="s">
        <v>163</v>
      </c>
      <c r="AT40" s="34"/>
      <c r="AU40" s="34">
        <f>+C40-I40</f>
        <v>3623826</v>
      </c>
      <c r="AV40" s="34"/>
      <c r="AW40" s="13" t="s">
        <v>36</v>
      </c>
      <c r="AX40" s="34"/>
      <c r="AY40" s="34">
        <v>195000</v>
      </c>
      <c r="AZ40" s="34"/>
      <c r="BA40" s="34">
        <v>161000</v>
      </c>
      <c r="BB40" s="34"/>
      <c r="BC40" s="34">
        <f>7985517+420000</f>
        <v>8405517</v>
      </c>
      <c r="BD40" s="34"/>
      <c r="BE40" s="34">
        <f>86136</f>
        <v>86136</v>
      </c>
      <c r="BF40" s="34"/>
      <c r="BG40" s="34"/>
      <c r="BH40" s="34"/>
      <c r="BI40" s="34">
        <f t="shared" si="0"/>
        <v>8847653</v>
      </c>
    </row>
    <row r="41" spans="1:61" ht="12">
      <c r="A41" s="13" t="s">
        <v>195</v>
      </c>
      <c r="C41" s="37">
        <f>G41-E41</f>
        <v>7835890</v>
      </c>
      <c r="D41" s="37"/>
      <c r="E41" s="37">
        <v>70027881</v>
      </c>
      <c r="F41" s="37"/>
      <c r="G41" s="37">
        <v>77863771</v>
      </c>
      <c r="H41" s="37"/>
      <c r="I41" s="37">
        <f>M41-K41</f>
        <v>13041563</v>
      </c>
      <c r="J41" s="37"/>
      <c r="K41" s="37">
        <f>SUM(BI41)</f>
        <v>37082186</v>
      </c>
      <c r="L41" s="37"/>
      <c r="M41" s="37">
        <v>50123749</v>
      </c>
      <c r="N41" s="37"/>
      <c r="O41" s="37">
        <v>18972376</v>
      </c>
      <c r="P41" s="37"/>
      <c r="Q41" s="37">
        <v>796083</v>
      </c>
      <c r="R41" s="37"/>
      <c r="S41" s="37">
        <v>7971563</v>
      </c>
      <c r="T41" s="37"/>
      <c r="U41" s="37">
        <f>SUM(O41:S41)</f>
        <v>27740022</v>
      </c>
      <c r="V41" s="37"/>
      <c r="W41" s="13" t="s">
        <v>195</v>
      </c>
      <c r="X41" s="37"/>
      <c r="Y41" s="34">
        <v>8171597</v>
      </c>
      <c r="Z41" s="34"/>
      <c r="AA41" s="34">
        <f>4230244-1450781</f>
        <v>2779463</v>
      </c>
      <c r="AB41" s="34"/>
      <c r="AC41" s="34">
        <v>1450781</v>
      </c>
      <c r="AD41" s="34"/>
      <c r="AE41" s="38">
        <f>+Y41-AA41-AC41</f>
        <v>3941353</v>
      </c>
      <c r="AF41" s="38"/>
      <c r="AG41" s="38">
        <v>-2036207</v>
      </c>
      <c r="AH41" s="38"/>
      <c r="AI41" s="34">
        <v>310847</v>
      </c>
      <c r="AJ41" s="34"/>
      <c r="AK41" s="34">
        <v>81</v>
      </c>
      <c r="AL41" s="34"/>
      <c r="AM41" s="34">
        <v>602294</v>
      </c>
      <c r="AN41" s="34"/>
      <c r="AO41" s="38">
        <f>+AE41+AG41+AI41-AK41+AM41</f>
        <v>2818206</v>
      </c>
      <c r="AP41" s="38"/>
      <c r="AQ41" s="70" t="s">
        <v>163</v>
      </c>
      <c r="AR41" s="34"/>
      <c r="AS41" s="70" t="s">
        <v>163</v>
      </c>
      <c r="AT41" s="34"/>
      <c r="AU41" s="34">
        <f>+C41-I41</f>
        <v>-5205673</v>
      </c>
      <c r="AV41" s="34"/>
      <c r="AW41" s="13" t="s">
        <v>195</v>
      </c>
      <c r="AX41" s="34"/>
      <c r="AY41" s="34">
        <v>0</v>
      </c>
      <c r="AZ41" s="34"/>
      <c r="BA41" s="34">
        <f>31150000+1697495</f>
        <v>32847495</v>
      </c>
      <c r="BB41" s="34"/>
      <c r="BC41" s="34">
        <v>2611161</v>
      </c>
      <c r="BD41" s="34"/>
      <c r="BE41" s="34">
        <v>1623530</v>
      </c>
      <c r="BF41" s="34"/>
      <c r="BG41" s="34"/>
      <c r="BH41" s="34"/>
      <c r="BI41" s="34">
        <f t="shared" si="0"/>
        <v>37082186</v>
      </c>
    </row>
    <row r="42" spans="1:61" ht="12">
      <c r="A42" s="13" t="s">
        <v>37</v>
      </c>
      <c r="C42" s="37">
        <f>G42-E42</f>
        <v>1053102</v>
      </c>
      <c r="D42" s="37"/>
      <c r="E42" s="37">
        <v>3506800</v>
      </c>
      <c r="F42" s="37"/>
      <c r="G42" s="37">
        <v>4559902</v>
      </c>
      <c r="H42" s="37"/>
      <c r="I42" s="37">
        <f>M42-K42</f>
        <v>235285</v>
      </c>
      <c r="J42" s="37"/>
      <c r="K42" s="37">
        <f>SUM(BI42)</f>
        <v>1183695</v>
      </c>
      <c r="L42" s="37"/>
      <c r="M42" s="37">
        <v>1418980</v>
      </c>
      <c r="N42" s="37"/>
      <c r="O42" s="37">
        <v>2347910</v>
      </c>
      <c r="P42" s="37"/>
      <c r="Q42" s="37">
        <v>0</v>
      </c>
      <c r="R42" s="37"/>
      <c r="S42" s="37">
        <v>793012</v>
      </c>
      <c r="T42" s="37"/>
      <c r="U42" s="37">
        <f>SUM(O42:S42)</f>
        <v>3140922</v>
      </c>
      <c r="V42" s="37"/>
      <c r="W42" s="13" t="s">
        <v>37</v>
      </c>
      <c r="X42" s="37"/>
      <c r="Y42" s="34">
        <v>1624281</v>
      </c>
      <c r="Z42" s="34"/>
      <c r="AA42" s="34">
        <f>1231970-189411</f>
        <v>1042559</v>
      </c>
      <c r="AB42" s="34"/>
      <c r="AC42" s="34">
        <v>189411</v>
      </c>
      <c r="AD42" s="34"/>
      <c r="AE42" s="38">
        <f>+Y42-AA42-AC42</f>
        <v>392311</v>
      </c>
      <c r="AF42" s="38"/>
      <c r="AG42" s="38">
        <v>-107158</v>
      </c>
      <c r="AH42" s="38"/>
      <c r="AI42" s="34">
        <v>51109</v>
      </c>
      <c r="AJ42" s="34"/>
      <c r="AK42" s="34">
        <v>0</v>
      </c>
      <c r="AL42" s="34"/>
      <c r="AM42" s="34">
        <v>0</v>
      </c>
      <c r="AN42" s="34"/>
      <c r="AO42" s="38">
        <f>+AE42+AG42+AI42-AK42+AM42</f>
        <v>336262</v>
      </c>
      <c r="AP42" s="38"/>
      <c r="AQ42" s="70" t="s">
        <v>163</v>
      </c>
      <c r="AR42" s="34"/>
      <c r="AS42" s="70" t="s">
        <v>163</v>
      </c>
      <c r="AT42" s="34"/>
      <c r="AU42" s="34">
        <f>+C42-I42</f>
        <v>817817</v>
      </c>
      <c r="AV42" s="34"/>
      <c r="AW42" s="13" t="s">
        <v>37</v>
      </c>
      <c r="AX42" s="34"/>
      <c r="AY42" s="34">
        <v>528392</v>
      </c>
      <c r="AZ42" s="34"/>
      <c r="BA42" s="34">
        <v>0</v>
      </c>
      <c r="BB42" s="34"/>
      <c r="BC42" s="34">
        <v>630498</v>
      </c>
      <c r="BD42" s="34"/>
      <c r="BE42" s="34">
        <f>24805</f>
        <v>24805</v>
      </c>
      <c r="BF42" s="34"/>
      <c r="BG42" s="34"/>
      <c r="BH42" s="34"/>
      <c r="BI42" s="34">
        <f t="shared" si="0"/>
        <v>1183695</v>
      </c>
    </row>
    <row r="43" spans="1:62" ht="12" hidden="1">
      <c r="A43" s="13" t="s">
        <v>38</v>
      </c>
      <c r="C43" s="37">
        <v>0</v>
      </c>
      <c r="D43" s="37"/>
      <c r="E43" s="37">
        <v>0</v>
      </c>
      <c r="F43" s="37"/>
      <c r="G43" s="37">
        <v>0</v>
      </c>
      <c r="H43" s="37"/>
      <c r="I43" s="37">
        <v>0</v>
      </c>
      <c r="J43" s="37"/>
      <c r="K43" s="37">
        <v>0</v>
      </c>
      <c r="L43" s="37"/>
      <c r="M43" s="37">
        <v>0</v>
      </c>
      <c r="N43" s="37"/>
      <c r="O43" s="37">
        <v>0</v>
      </c>
      <c r="P43" s="37"/>
      <c r="Q43" s="37">
        <v>0</v>
      </c>
      <c r="R43" s="37"/>
      <c r="S43" s="37">
        <v>0</v>
      </c>
      <c r="T43" s="37"/>
      <c r="U43" s="37">
        <v>0</v>
      </c>
      <c r="V43" s="37"/>
      <c r="W43" s="13" t="s">
        <v>38</v>
      </c>
      <c r="X43" s="37"/>
      <c r="Y43" s="37">
        <v>0</v>
      </c>
      <c r="Z43" s="37"/>
      <c r="AA43" s="37">
        <v>0</v>
      </c>
      <c r="AB43" s="37"/>
      <c r="AC43" s="37">
        <v>0</v>
      </c>
      <c r="AD43" s="37"/>
      <c r="AE43" s="37">
        <v>0</v>
      </c>
      <c r="AF43" s="37"/>
      <c r="AG43" s="37">
        <v>0</v>
      </c>
      <c r="AH43" s="37"/>
      <c r="AI43" s="37">
        <v>0</v>
      </c>
      <c r="AJ43" s="37"/>
      <c r="AK43" s="37">
        <v>0</v>
      </c>
      <c r="AL43" s="37"/>
      <c r="AM43" s="37">
        <v>0</v>
      </c>
      <c r="AN43" s="37"/>
      <c r="AO43" s="37">
        <v>0</v>
      </c>
      <c r="AP43" s="37"/>
      <c r="AQ43" s="70" t="s">
        <v>163</v>
      </c>
      <c r="AR43" s="37"/>
      <c r="AS43" s="70" t="s">
        <v>163</v>
      </c>
      <c r="AT43" s="37"/>
      <c r="AU43" s="37">
        <v>0</v>
      </c>
      <c r="AV43" s="37"/>
      <c r="AW43" s="13" t="s">
        <v>38</v>
      </c>
      <c r="AX43" s="37"/>
      <c r="AY43" s="37">
        <v>0</v>
      </c>
      <c r="AZ43" s="37"/>
      <c r="BA43" s="37">
        <v>0</v>
      </c>
      <c r="BB43" s="37"/>
      <c r="BC43" s="37">
        <v>0</v>
      </c>
      <c r="BD43" s="37"/>
      <c r="BE43" s="37">
        <v>0</v>
      </c>
      <c r="BF43" s="37"/>
      <c r="BG43" s="37"/>
      <c r="BH43" s="37"/>
      <c r="BI43" s="34">
        <f t="shared" si="0"/>
        <v>0</v>
      </c>
      <c r="BJ43" s="8" t="s">
        <v>172</v>
      </c>
    </row>
    <row r="44" spans="1:62" ht="12" hidden="1">
      <c r="A44" s="13" t="s">
        <v>39</v>
      </c>
      <c r="C44" s="37">
        <f>G44-E44</f>
        <v>0</v>
      </c>
      <c r="D44" s="37"/>
      <c r="E44" s="37">
        <v>0</v>
      </c>
      <c r="F44" s="37"/>
      <c r="G44" s="37">
        <v>0</v>
      </c>
      <c r="H44" s="37"/>
      <c r="I44" s="37">
        <f>M44-K44</f>
        <v>0</v>
      </c>
      <c r="J44" s="37"/>
      <c r="K44" s="37">
        <f>SUM(BI44)</f>
        <v>0</v>
      </c>
      <c r="L44" s="37"/>
      <c r="M44" s="37">
        <v>0</v>
      </c>
      <c r="N44" s="37"/>
      <c r="O44" s="37">
        <v>0</v>
      </c>
      <c r="P44" s="37"/>
      <c r="Q44" s="37">
        <v>0</v>
      </c>
      <c r="R44" s="37"/>
      <c r="S44" s="37">
        <v>0</v>
      </c>
      <c r="T44" s="37"/>
      <c r="U44" s="37">
        <f>SUM(O44:S44)</f>
        <v>0</v>
      </c>
      <c r="V44" s="37"/>
      <c r="W44" s="13" t="s">
        <v>39</v>
      </c>
      <c r="X44" s="37"/>
      <c r="Y44" s="34">
        <v>0</v>
      </c>
      <c r="Z44" s="34"/>
      <c r="AA44" s="34">
        <v>0</v>
      </c>
      <c r="AB44" s="34"/>
      <c r="AC44" s="34">
        <v>0</v>
      </c>
      <c r="AD44" s="34"/>
      <c r="AE44" s="38">
        <f>+Y44-AA44-AC44</f>
        <v>0</v>
      </c>
      <c r="AF44" s="38"/>
      <c r="AG44" s="38">
        <v>0</v>
      </c>
      <c r="AH44" s="38"/>
      <c r="AI44" s="34">
        <v>0</v>
      </c>
      <c r="AJ44" s="34"/>
      <c r="AK44" s="34">
        <v>0</v>
      </c>
      <c r="AL44" s="34"/>
      <c r="AM44" s="34">
        <v>0</v>
      </c>
      <c r="AN44" s="34"/>
      <c r="AO44" s="38">
        <f>+AE44+AG44+AI44-AK44+AM44</f>
        <v>0</v>
      </c>
      <c r="AP44" s="38"/>
      <c r="AQ44" s="70" t="s">
        <v>163</v>
      </c>
      <c r="AR44" s="34"/>
      <c r="AS44" s="70" t="s">
        <v>163</v>
      </c>
      <c r="AT44" s="34"/>
      <c r="AU44" s="34">
        <f>+C44-I44</f>
        <v>0</v>
      </c>
      <c r="AV44" s="34"/>
      <c r="AW44" s="13" t="s">
        <v>39</v>
      </c>
      <c r="AX44" s="34"/>
      <c r="AY44" s="34">
        <v>0</v>
      </c>
      <c r="AZ44" s="34"/>
      <c r="BA44" s="34">
        <v>0</v>
      </c>
      <c r="BB44" s="34"/>
      <c r="BC44" s="34">
        <v>0</v>
      </c>
      <c r="BD44" s="34"/>
      <c r="BE44" s="34">
        <v>0</v>
      </c>
      <c r="BF44" s="34"/>
      <c r="BG44" s="34"/>
      <c r="BH44" s="34"/>
      <c r="BI44" s="34">
        <f t="shared" si="0"/>
        <v>0</v>
      </c>
      <c r="BJ44" s="8" t="s">
        <v>166</v>
      </c>
    </row>
    <row r="45" spans="1:61" ht="12" hidden="1">
      <c r="A45" s="13" t="s">
        <v>169</v>
      </c>
      <c r="C45" s="37">
        <v>0</v>
      </c>
      <c r="D45" s="37"/>
      <c r="E45" s="37">
        <v>0</v>
      </c>
      <c r="F45" s="37"/>
      <c r="G45" s="37">
        <v>0</v>
      </c>
      <c r="H45" s="37"/>
      <c r="I45" s="37">
        <v>0</v>
      </c>
      <c r="J45" s="37"/>
      <c r="K45" s="37">
        <v>0</v>
      </c>
      <c r="L45" s="37"/>
      <c r="M45" s="37">
        <v>0</v>
      </c>
      <c r="N45" s="37"/>
      <c r="O45" s="37">
        <v>0</v>
      </c>
      <c r="P45" s="37"/>
      <c r="Q45" s="37">
        <v>0</v>
      </c>
      <c r="R45" s="37"/>
      <c r="S45" s="37">
        <v>0</v>
      </c>
      <c r="T45" s="37"/>
      <c r="U45" s="37">
        <v>0</v>
      </c>
      <c r="V45" s="37"/>
      <c r="W45" s="13" t="s">
        <v>169</v>
      </c>
      <c r="X45" s="37"/>
      <c r="Y45" s="37">
        <v>0</v>
      </c>
      <c r="Z45" s="37"/>
      <c r="AA45" s="37">
        <v>0</v>
      </c>
      <c r="AB45" s="37"/>
      <c r="AC45" s="37">
        <v>0</v>
      </c>
      <c r="AD45" s="37"/>
      <c r="AE45" s="37">
        <v>0</v>
      </c>
      <c r="AF45" s="37"/>
      <c r="AG45" s="37">
        <v>0</v>
      </c>
      <c r="AH45" s="37"/>
      <c r="AI45" s="37">
        <v>0</v>
      </c>
      <c r="AJ45" s="37"/>
      <c r="AK45" s="37">
        <v>0</v>
      </c>
      <c r="AL45" s="37"/>
      <c r="AM45" s="37">
        <v>0</v>
      </c>
      <c r="AN45" s="37"/>
      <c r="AO45" s="37">
        <v>0</v>
      </c>
      <c r="AP45" s="37"/>
      <c r="AQ45" s="70" t="s">
        <v>163</v>
      </c>
      <c r="AR45" s="37"/>
      <c r="AS45" s="70" t="s">
        <v>163</v>
      </c>
      <c r="AT45" s="37"/>
      <c r="AU45" s="37">
        <v>0</v>
      </c>
      <c r="AV45" s="37"/>
      <c r="AW45" s="13" t="s">
        <v>169</v>
      </c>
      <c r="AX45" s="37"/>
      <c r="AY45" s="37">
        <v>0</v>
      </c>
      <c r="AZ45" s="37"/>
      <c r="BA45" s="37">
        <v>0</v>
      </c>
      <c r="BB45" s="37"/>
      <c r="BC45" s="37">
        <v>0</v>
      </c>
      <c r="BD45" s="37"/>
      <c r="BE45" s="37">
        <v>0</v>
      </c>
      <c r="BF45" s="37"/>
      <c r="BG45" s="37"/>
      <c r="BH45" s="37"/>
      <c r="BI45" s="34">
        <f t="shared" si="0"/>
        <v>0</v>
      </c>
    </row>
    <row r="46" spans="1:61" ht="12" hidden="1">
      <c r="A46" s="13" t="s">
        <v>40</v>
      </c>
      <c r="C46" s="37">
        <f>G46-E46</f>
        <v>0</v>
      </c>
      <c r="D46" s="37"/>
      <c r="E46" s="37">
        <v>0</v>
      </c>
      <c r="F46" s="37"/>
      <c r="G46" s="37">
        <v>0</v>
      </c>
      <c r="H46" s="37"/>
      <c r="I46" s="37">
        <f>M46-K46</f>
        <v>0</v>
      </c>
      <c r="J46" s="37"/>
      <c r="K46" s="37">
        <f>SUM(BI46)</f>
        <v>0</v>
      </c>
      <c r="L46" s="37"/>
      <c r="M46" s="37">
        <v>0</v>
      </c>
      <c r="N46" s="37"/>
      <c r="O46" s="37">
        <v>0</v>
      </c>
      <c r="P46" s="37"/>
      <c r="Q46" s="37">
        <v>0</v>
      </c>
      <c r="R46" s="37"/>
      <c r="S46" s="37">
        <v>0</v>
      </c>
      <c r="T46" s="37"/>
      <c r="U46" s="37">
        <f>SUM(O46:S46)</f>
        <v>0</v>
      </c>
      <c r="V46" s="37"/>
      <c r="W46" s="13" t="s">
        <v>40</v>
      </c>
      <c r="X46" s="37"/>
      <c r="Y46" s="34">
        <f>30953+4382+66550+2328</f>
        <v>104213</v>
      </c>
      <c r="Z46" s="34"/>
      <c r="AA46" s="34">
        <v>0</v>
      </c>
      <c r="AB46" s="34"/>
      <c r="AC46" s="34">
        <v>0</v>
      </c>
      <c r="AD46" s="34"/>
      <c r="AE46" s="38">
        <f>+Y46-AA46-AC46</f>
        <v>104213</v>
      </c>
      <c r="AF46" s="38"/>
      <c r="AG46" s="38">
        <v>0</v>
      </c>
      <c r="AH46" s="38"/>
      <c r="AI46" s="34">
        <v>0</v>
      </c>
      <c r="AJ46" s="34"/>
      <c r="AK46" s="34">
        <v>0</v>
      </c>
      <c r="AL46" s="34"/>
      <c r="AM46" s="34">
        <v>0</v>
      </c>
      <c r="AN46" s="34"/>
      <c r="AO46" s="38">
        <f>+AE46+AG46+AI46-AK46+AM46</f>
        <v>104213</v>
      </c>
      <c r="AP46" s="38"/>
      <c r="AQ46" s="70" t="s">
        <v>163</v>
      </c>
      <c r="AR46" s="34"/>
      <c r="AS46" s="70" t="s">
        <v>163</v>
      </c>
      <c r="AT46" s="34"/>
      <c r="AU46" s="34">
        <f>+C46-I46</f>
        <v>0</v>
      </c>
      <c r="AV46" s="34"/>
      <c r="AW46" s="13" t="s">
        <v>40</v>
      </c>
      <c r="AX46" s="34"/>
      <c r="AY46" s="34">
        <v>0</v>
      </c>
      <c r="AZ46" s="34"/>
      <c r="BA46" s="34">
        <v>0</v>
      </c>
      <c r="BB46" s="34"/>
      <c r="BC46" s="34">
        <v>0</v>
      </c>
      <c r="BD46" s="34"/>
      <c r="BE46" s="34">
        <v>0</v>
      </c>
      <c r="BF46" s="34"/>
      <c r="BG46" s="34"/>
      <c r="BH46" s="34"/>
      <c r="BI46" s="34">
        <f t="shared" si="0"/>
        <v>0</v>
      </c>
    </row>
    <row r="47" spans="1:61" ht="12" hidden="1">
      <c r="A47" s="13" t="s">
        <v>41</v>
      </c>
      <c r="C47" s="37">
        <f>G47-E47</f>
        <v>0</v>
      </c>
      <c r="D47" s="37"/>
      <c r="E47" s="37"/>
      <c r="F47" s="37"/>
      <c r="G47" s="37"/>
      <c r="H47" s="37"/>
      <c r="I47" s="37">
        <f>M47-K47</f>
        <v>0</v>
      </c>
      <c r="J47" s="37"/>
      <c r="K47" s="37">
        <f>SUM(BI47)</f>
        <v>0</v>
      </c>
      <c r="L47" s="37"/>
      <c r="M47" s="37"/>
      <c r="N47" s="37"/>
      <c r="O47" s="37"/>
      <c r="P47" s="37"/>
      <c r="Q47" s="37"/>
      <c r="R47" s="37"/>
      <c r="S47" s="37"/>
      <c r="T47" s="37"/>
      <c r="U47" s="37">
        <f>SUM(O47:S47)</f>
        <v>0</v>
      </c>
      <c r="V47" s="37"/>
      <c r="W47" s="13" t="s">
        <v>41</v>
      </c>
      <c r="X47" s="37"/>
      <c r="Y47" s="34"/>
      <c r="Z47" s="34"/>
      <c r="AA47" s="34"/>
      <c r="AB47" s="34"/>
      <c r="AC47" s="34"/>
      <c r="AD47" s="34"/>
      <c r="AE47" s="38">
        <f>+Y47-AA47-AC47</f>
        <v>0</v>
      </c>
      <c r="AF47" s="38"/>
      <c r="AG47" s="38"/>
      <c r="AH47" s="38"/>
      <c r="AI47" s="34"/>
      <c r="AJ47" s="34"/>
      <c r="AK47" s="34"/>
      <c r="AL47" s="34"/>
      <c r="AM47" s="34"/>
      <c r="AN47" s="34"/>
      <c r="AO47" s="38">
        <f>+AE47+AG47+AI47-AK47+AM47</f>
        <v>0</v>
      </c>
      <c r="AP47" s="38"/>
      <c r="AQ47" s="70" t="s">
        <v>163</v>
      </c>
      <c r="AR47" s="34"/>
      <c r="AS47" s="70" t="s">
        <v>163</v>
      </c>
      <c r="AT47" s="34"/>
      <c r="AU47" s="34">
        <f>+C47-I47</f>
        <v>0</v>
      </c>
      <c r="AV47" s="34"/>
      <c r="AW47" s="13" t="s">
        <v>41</v>
      </c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>
        <f t="shared" si="0"/>
        <v>0</v>
      </c>
    </row>
    <row r="48" spans="1:62" ht="12" hidden="1">
      <c r="A48" s="13" t="s">
        <v>42</v>
      </c>
      <c r="C48" s="37">
        <v>0</v>
      </c>
      <c r="D48" s="37"/>
      <c r="E48" s="37">
        <v>0</v>
      </c>
      <c r="F48" s="37"/>
      <c r="G48" s="37">
        <v>0</v>
      </c>
      <c r="H48" s="37"/>
      <c r="I48" s="37">
        <v>0</v>
      </c>
      <c r="J48" s="37"/>
      <c r="K48" s="37">
        <v>0</v>
      </c>
      <c r="L48" s="37"/>
      <c r="M48" s="37">
        <v>0</v>
      </c>
      <c r="N48" s="37"/>
      <c r="O48" s="37">
        <v>0</v>
      </c>
      <c r="P48" s="37"/>
      <c r="Q48" s="37">
        <v>0</v>
      </c>
      <c r="R48" s="37"/>
      <c r="S48" s="37">
        <v>0</v>
      </c>
      <c r="T48" s="37"/>
      <c r="U48" s="37">
        <v>0</v>
      </c>
      <c r="V48" s="37"/>
      <c r="W48" s="13" t="s">
        <v>42</v>
      </c>
      <c r="X48" s="37"/>
      <c r="Y48" s="37">
        <v>0</v>
      </c>
      <c r="Z48" s="37"/>
      <c r="AA48" s="37">
        <v>0</v>
      </c>
      <c r="AB48" s="37"/>
      <c r="AC48" s="37">
        <v>0</v>
      </c>
      <c r="AD48" s="37"/>
      <c r="AE48" s="37">
        <v>0</v>
      </c>
      <c r="AF48" s="37"/>
      <c r="AG48" s="37">
        <v>0</v>
      </c>
      <c r="AH48" s="37"/>
      <c r="AI48" s="37">
        <v>0</v>
      </c>
      <c r="AJ48" s="37"/>
      <c r="AK48" s="37">
        <v>0</v>
      </c>
      <c r="AL48" s="37"/>
      <c r="AM48" s="37">
        <v>0</v>
      </c>
      <c r="AN48" s="37"/>
      <c r="AO48" s="37">
        <v>0</v>
      </c>
      <c r="AP48" s="37"/>
      <c r="AQ48" s="70" t="s">
        <v>163</v>
      </c>
      <c r="AR48" s="37"/>
      <c r="AS48" s="70" t="s">
        <v>163</v>
      </c>
      <c r="AT48" s="37"/>
      <c r="AU48" s="37">
        <v>0</v>
      </c>
      <c r="AV48" s="37"/>
      <c r="AW48" s="13" t="s">
        <v>42</v>
      </c>
      <c r="AX48" s="37"/>
      <c r="AY48" s="37">
        <v>0</v>
      </c>
      <c r="AZ48" s="37"/>
      <c r="BA48" s="37">
        <v>0</v>
      </c>
      <c r="BB48" s="37"/>
      <c r="BC48" s="37">
        <v>0</v>
      </c>
      <c r="BD48" s="37"/>
      <c r="BE48" s="37">
        <v>0</v>
      </c>
      <c r="BF48" s="37"/>
      <c r="BG48" s="37"/>
      <c r="BH48" s="37"/>
      <c r="BI48" s="34">
        <f t="shared" si="0"/>
        <v>0</v>
      </c>
      <c r="BJ48" s="8" t="s">
        <v>168</v>
      </c>
    </row>
    <row r="49" spans="1:62" ht="12" hidden="1">
      <c r="A49" s="13" t="s">
        <v>43</v>
      </c>
      <c r="C49" s="37">
        <v>0</v>
      </c>
      <c r="D49" s="37"/>
      <c r="E49" s="37">
        <v>0</v>
      </c>
      <c r="F49" s="37"/>
      <c r="G49" s="37">
        <v>0</v>
      </c>
      <c r="H49" s="37"/>
      <c r="I49" s="37">
        <v>0</v>
      </c>
      <c r="J49" s="37"/>
      <c r="K49" s="37">
        <v>0</v>
      </c>
      <c r="L49" s="37"/>
      <c r="M49" s="37">
        <v>0</v>
      </c>
      <c r="N49" s="37"/>
      <c r="O49" s="37">
        <v>0</v>
      </c>
      <c r="P49" s="37"/>
      <c r="Q49" s="37">
        <v>0</v>
      </c>
      <c r="R49" s="37"/>
      <c r="S49" s="37">
        <v>0</v>
      </c>
      <c r="T49" s="37"/>
      <c r="U49" s="37">
        <v>0</v>
      </c>
      <c r="V49" s="37"/>
      <c r="W49" s="13" t="s">
        <v>43</v>
      </c>
      <c r="X49" s="37"/>
      <c r="Y49" s="37">
        <v>0</v>
      </c>
      <c r="Z49" s="37"/>
      <c r="AA49" s="37">
        <v>0</v>
      </c>
      <c r="AB49" s="37"/>
      <c r="AC49" s="37">
        <v>0</v>
      </c>
      <c r="AD49" s="37"/>
      <c r="AE49" s="37">
        <v>0</v>
      </c>
      <c r="AF49" s="37"/>
      <c r="AG49" s="37">
        <v>0</v>
      </c>
      <c r="AH49" s="37"/>
      <c r="AI49" s="37">
        <v>0</v>
      </c>
      <c r="AJ49" s="37"/>
      <c r="AK49" s="37">
        <v>0</v>
      </c>
      <c r="AL49" s="37"/>
      <c r="AM49" s="37">
        <v>0</v>
      </c>
      <c r="AN49" s="37"/>
      <c r="AO49" s="37">
        <v>0</v>
      </c>
      <c r="AP49" s="37"/>
      <c r="AQ49" s="70" t="s">
        <v>163</v>
      </c>
      <c r="AR49" s="37"/>
      <c r="AS49" s="70" t="s">
        <v>163</v>
      </c>
      <c r="AT49" s="37"/>
      <c r="AU49" s="37">
        <v>0</v>
      </c>
      <c r="AV49" s="37"/>
      <c r="AW49" s="13" t="s">
        <v>43</v>
      </c>
      <c r="AX49" s="37"/>
      <c r="AY49" s="37">
        <v>0</v>
      </c>
      <c r="AZ49" s="37"/>
      <c r="BA49" s="37">
        <v>0</v>
      </c>
      <c r="BB49" s="37"/>
      <c r="BC49" s="37">
        <v>0</v>
      </c>
      <c r="BD49" s="37"/>
      <c r="BE49" s="37">
        <v>0</v>
      </c>
      <c r="BF49" s="37"/>
      <c r="BG49" s="37"/>
      <c r="BH49" s="37"/>
      <c r="BI49" s="34">
        <f t="shared" si="0"/>
        <v>0</v>
      </c>
      <c r="BJ49" s="8" t="s">
        <v>168</v>
      </c>
    </row>
    <row r="50" spans="1:61" ht="12">
      <c r="A50" s="13" t="s">
        <v>44</v>
      </c>
      <c r="C50" s="37">
        <f>G50-E50</f>
        <v>11472</v>
      </c>
      <c r="D50" s="37"/>
      <c r="E50" s="37">
        <v>0</v>
      </c>
      <c r="F50" s="37"/>
      <c r="G50" s="37">
        <v>11472</v>
      </c>
      <c r="H50" s="37"/>
      <c r="I50" s="37">
        <f>M50-K50</f>
        <v>8000</v>
      </c>
      <c r="J50" s="37"/>
      <c r="K50" s="37">
        <f>SUM(BI50)</f>
        <v>0</v>
      </c>
      <c r="L50" s="37"/>
      <c r="M50" s="37">
        <v>8000</v>
      </c>
      <c r="N50" s="37"/>
      <c r="O50" s="37">
        <v>0</v>
      </c>
      <c r="P50" s="37"/>
      <c r="Q50" s="37">
        <v>0</v>
      </c>
      <c r="R50" s="37"/>
      <c r="S50" s="37">
        <v>3472</v>
      </c>
      <c r="T50" s="37"/>
      <c r="U50" s="37">
        <f>SUM(O50:S50)</f>
        <v>3472</v>
      </c>
      <c r="V50" s="37"/>
      <c r="W50" s="13" t="s">
        <v>44</v>
      </c>
      <c r="X50" s="37"/>
      <c r="Y50" s="34">
        <v>12772</v>
      </c>
      <c r="Z50" s="34"/>
      <c r="AA50" s="34">
        <f>+Y50-3472</f>
        <v>9300</v>
      </c>
      <c r="AB50" s="34"/>
      <c r="AC50" s="34">
        <v>0</v>
      </c>
      <c r="AD50" s="34"/>
      <c r="AE50" s="38">
        <f>+Y50-AA50-AC50</f>
        <v>3472</v>
      </c>
      <c r="AF50" s="38"/>
      <c r="AG50" s="38">
        <v>0</v>
      </c>
      <c r="AH50" s="38"/>
      <c r="AI50" s="34">
        <v>0</v>
      </c>
      <c r="AJ50" s="34"/>
      <c r="AK50" s="34">
        <v>0</v>
      </c>
      <c r="AL50" s="34"/>
      <c r="AM50" s="34">
        <v>0</v>
      </c>
      <c r="AN50" s="34"/>
      <c r="AO50" s="38">
        <f>+AE50+AG50+AI50-AK50+AM50</f>
        <v>3472</v>
      </c>
      <c r="AP50" s="38"/>
      <c r="AQ50" s="70" t="s">
        <v>163</v>
      </c>
      <c r="AR50" s="34"/>
      <c r="AS50" s="70" t="s">
        <v>163</v>
      </c>
      <c r="AT50" s="34"/>
      <c r="AU50" s="34">
        <f>+C50-I50</f>
        <v>3472</v>
      </c>
      <c r="AV50" s="34"/>
      <c r="AW50" s="13" t="s">
        <v>44</v>
      </c>
      <c r="AX50" s="34"/>
      <c r="AY50" s="34">
        <v>0</v>
      </c>
      <c r="AZ50" s="34"/>
      <c r="BA50" s="34">
        <v>0</v>
      </c>
      <c r="BB50" s="34"/>
      <c r="BC50" s="34">
        <v>0</v>
      </c>
      <c r="BD50" s="34"/>
      <c r="BE50" s="34">
        <v>0</v>
      </c>
      <c r="BF50" s="34"/>
      <c r="BG50" s="34"/>
      <c r="BH50" s="34"/>
      <c r="BI50" s="34">
        <f t="shared" si="0"/>
        <v>0</v>
      </c>
    </row>
    <row r="51" spans="1:62" ht="12" hidden="1">
      <c r="A51" s="13" t="s">
        <v>45</v>
      </c>
      <c r="C51" s="37">
        <v>0</v>
      </c>
      <c r="D51" s="37"/>
      <c r="E51" s="37">
        <v>0</v>
      </c>
      <c r="F51" s="37"/>
      <c r="G51" s="37">
        <v>0</v>
      </c>
      <c r="H51" s="37"/>
      <c r="I51" s="37">
        <v>0</v>
      </c>
      <c r="J51" s="37"/>
      <c r="K51" s="37">
        <v>0</v>
      </c>
      <c r="L51" s="37"/>
      <c r="M51" s="37">
        <v>0</v>
      </c>
      <c r="N51" s="37"/>
      <c r="O51" s="37">
        <v>0</v>
      </c>
      <c r="P51" s="37"/>
      <c r="Q51" s="37">
        <v>0</v>
      </c>
      <c r="R51" s="37"/>
      <c r="S51" s="37">
        <v>0</v>
      </c>
      <c r="T51" s="37"/>
      <c r="U51" s="37">
        <v>0</v>
      </c>
      <c r="V51" s="37"/>
      <c r="W51" s="13" t="s">
        <v>45</v>
      </c>
      <c r="X51" s="37"/>
      <c r="Y51" s="37">
        <v>0</v>
      </c>
      <c r="Z51" s="37"/>
      <c r="AA51" s="37">
        <v>0</v>
      </c>
      <c r="AB51" s="37"/>
      <c r="AC51" s="37">
        <v>0</v>
      </c>
      <c r="AD51" s="37"/>
      <c r="AE51" s="37">
        <v>0</v>
      </c>
      <c r="AF51" s="37"/>
      <c r="AG51" s="37">
        <v>0</v>
      </c>
      <c r="AH51" s="37"/>
      <c r="AI51" s="37">
        <v>0</v>
      </c>
      <c r="AJ51" s="37"/>
      <c r="AK51" s="37">
        <v>0</v>
      </c>
      <c r="AL51" s="37"/>
      <c r="AM51" s="37">
        <v>0</v>
      </c>
      <c r="AN51" s="37"/>
      <c r="AO51" s="37">
        <v>0</v>
      </c>
      <c r="AP51" s="37"/>
      <c r="AQ51" s="70" t="s">
        <v>163</v>
      </c>
      <c r="AR51" s="37"/>
      <c r="AS51" s="70" t="s">
        <v>163</v>
      </c>
      <c r="AT51" s="37"/>
      <c r="AU51" s="37">
        <v>0</v>
      </c>
      <c r="AV51" s="37"/>
      <c r="AW51" s="13" t="s">
        <v>45</v>
      </c>
      <c r="AX51" s="37"/>
      <c r="AY51" s="37">
        <v>0</v>
      </c>
      <c r="AZ51" s="37"/>
      <c r="BA51" s="37">
        <v>0</v>
      </c>
      <c r="BB51" s="37"/>
      <c r="BC51" s="37">
        <v>0</v>
      </c>
      <c r="BD51" s="37"/>
      <c r="BE51" s="37">
        <v>0</v>
      </c>
      <c r="BF51" s="37"/>
      <c r="BG51" s="37"/>
      <c r="BH51" s="37"/>
      <c r="BI51" s="34">
        <f t="shared" si="0"/>
        <v>0</v>
      </c>
      <c r="BJ51" s="8" t="s">
        <v>166</v>
      </c>
    </row>
    <row r="52" spans="1:62" ht="12" hidden="1">
      <c r="A52" s="13" t="s">
        <v>46</v>
      </c>
      <c r="C52" s="37">
        <v>0</v>
      </c>
      <c r="D52" s="37"/>
      <c r="E52" s="37">
        <v>0</v>
      </c>
      <c r="F52" s="37"/>
      <c r="G52" s="37">
        <v>0</v>
      </c>
      <c r="H52" s="37"/>
      <c r="I52" s="37">
        <v>0</v>
      </c>
      <c r="J52" s="37"/>
      <c r="K52" s="37">
        <v>0</v>
      </c>
      <c r="L52" s="37"/>
      <c r="M52" s="37">
        <v>0</v>
      </c>
      <c r="N52" s="37"/>
      <c r="O52" s="37">
        <v>0</v>
      </c>
      <c r="P52" s="37"/>
      <c r="Q52" s="37">
        <v>0</v>
      </c>
      <c r="R52" s="37"/>
      <c r="S52" s="37">
        <v>0</v>
      </c>
      <c r="T52" s="37"/>
      <c r="U52" s="37">
        <v>0</v>
      </c>
      <c r="V52" s="37"/>
      <c r="W52" s="13" t="s">
        <v>46</v>
      </c>
      <c r="X52" s="37"/>
      <c r="Y52" s="37">
        <v>0</v>
      </c>
      <c r="Z52" s="37"/>
      <c r="AA52" s="37">
        <v>0</v>
      </c>
      <c r="AB52" s="37"/>
      <c r="AC52" s="37">
        <v>0</v>
      </c>
      <c r="AD52" s="37"/>
      <c r="AE52" s="37">
        <v>0</v>
      </c>
      <c r="AF52" s="37"/>
      <c r="AG52" s="37">
        <v>0</v>
      </c>
      <c r="AH52" s="37"/>
      <c r="AI52" s="37">
        <v>0</v>
      </c>
      <c r="AJ52" s="37"/>
      <c r="AK52" s="37">
        <v>0</v>
      </c>
      <c r="AL52" s="37"/>
      <c r="AM52" s="37">
        <v>0</v>
      </c>
      <c r="AN52" s="37"/>
      <c r="AO52" s="37">
        <v>0</v>
      </c>
      <c r="AP52" s="37"/>
      <c r="AQ52" s="70" t="s">
        <v>163</v>
      </c>
      <c r="AR52" s="37"/>
      <c r="AS52" s="70" t="s">
        <v>163</v>
      </c>
      <c r="AT52" s="37"/>
      <c r="AU52" s="37">
        <v>0</v>
      </c>
      <c r="AV52" s="37"/>
      <c r="AW52" s="13" t="s">
        <v>46</v>
      </c>
      <c r="AX52" s="37"/>
      <c r="AY52" s="37">
        <v>0</v>
      </c>
      <c r="AZ52" s="37"/>
      <c r="BA52" s="37">
        <v>0</v>
      </c>
      <c r="BB52" s="37"/>
      <c r="BC52" s="37">
        <v>0</v>
      </c>
      <c r="BD52" s="37"/>
      <c r="BE52" s="37">
        <v>0</v>
      </c>
      <c r="BF52" s="37"/>
      <c r="BG52" s="37"/>
      <c r="BH52" s="37"/>
      <c r="BI52" s="34">
        <f t="shared" si="0"/>
        <v>0</v>
      </c>
      <c r="BJ52" s="8" t="s">
        <v>168</v>
      </c>
    </row>
    <row r="53" spans="1:62" ht="12">
      <c r="A53" s="13" t="s">
        <v>47</v>
      </c>
      <c r="C53" s="37">
        <f>G53-E53</f>
        <v>1778280</v>
      </c>
      <c r="D53" s="37"/>
      <c r="E53" s="37">
        <f>490117+18118645</f>
        <v>18608762</v>
      </c>
      <c r="F53" s="37"/>
      <c r="G53" s="37">
        <v>20387042</v>
      </c>
      <c r="H53" s="37"/>
      <c r="I53" s="37">
        <f>M53-K53</f>
        <v>2795339</v>
      </c>
      <c r="J53" s="37"/>
      <c r="K53" s="37">
        <f>SUM(BI53)</f>
        <v>3953800</v>
      </c>
      <c r="L53" s="37"/>
      <c r="M53" s="37">
        <v>6749139</v>
      </c>
      <c r="N53" s="37"/>
      <c r="O53" s="37">
        <v>12090262</v>
      </c>
      <c r="P53" s="37"/>
      <c r="Q53" s="37">
        <f>273628+45312</f>
        <v>318940</v>
      </c>
      <c r="R53" s="37"/>
      <c r="S53" s="37">
        <v>1228701</v>
      </c>
      <c r="T53" s="37"/>
      <c r="U53" s="37">
        <f>SUM(O53:S53)</f>
        <v>13637903</v>
      </c>
      <c r="V53" s="37"/>
      <c r="W53" s="13" t="s">
        <v>47</v>
      </c>
      <c r="X53" s="37"/>
      <c r="Y53" s="34">
        <v>3802505</v>
      </c>
      <c r="Z53" s="34"/>
      <c r="AA53" s="34">
        <f>3581401-872849</f>
        <v>2708552</v>
      </c>
      <c r="AB53" s="34"/>
      <c r="AC53" s="34">
        <v>872849</v>
      </c>
      <c r="AD53" s="34"/>
      <c r="AE53" s="38">
        <f>+Y53-AA53-AC53</f>
        <v>221104</v>
      </c>
      <c r="AF53" s="38"/>
      <c r="AG53" s="38">
        <v>-165160</v>
      </c>
      <c r="AH53" s="38"/>
      <c r="AI53" s="34">
        <v>0</v>
      </c>
      <c r="AJ53" s="34"/>
      <c r="AK53" s="34">
        <v>0</v>
      </c>
      <c r="AL53" s="34"/>
      <c r="AM53" s="34">
        <v>9000</v>
      </c>
      <c r="AN53" s="34"/>
      <c r="AO53" s="38">
        <f>+AE53+AG53+AI53-AK53+AM53</f>
        <v>64944</v>
      </c>
      <c r="AP53" s="38"/>
      <c r="AQ53" s="70" t="s">
        <v>163</v>
      </c>
      <c r="AR53" s="34"/>
      <c r="AS53" s="70" t="s">
        <v>163</v>
      </c>
      <c r="AT53" s="34"/>
      <c r="AU53" s="34">
        <f>+C53-I53</f>
        <v>-1017059</v>
      </c>
      <c r="AV53" s="34"/>
      <c r="AW53" s="13" t="s">
        <v>47</v>
      </c>
      <c r="AX53" s="34"/>
      <c r="AY53" s="34">
        <v>0</v>
      </c>
      <c r="AZ53" s="34"/>
      <c r="BA53" s="34">
        <f>69000+132000</f>
        <v>201000</v>
      </c>
      <c r="BB53" s="34"/>
      <c r="BC53" s="34">
        <f>2863343+854483</f>
        <v>3717826</v>
      </c>
      <c r="BD53" s="34"/>
      <c r="BE53" s="34">
        <f>584+34390</f>
        <v>34974</v>
      </c>
      <c r="BF53" s="34"/>
      <c r="BG53" s="34"/>
      <c r="BH53" s="34"/>
      <c r="BI53" s="34">
        <f t="shared" si="0"/>
        <v>3953800</v>
      </c>
      <c r="BJ53" s="34" t="s">
        <v>166</v>
      </c>
    </row>
    <row r="54" spans="1:62" ht="12" hidden="1">
      <c r="A54" s="13" t="s">
        <v>48</v>
      </c>
      <c r="C54" s="37">
        <f>G54-E54</f>
        <v>0</v>
      </c>
      <c r="D54" s="37"/>
      <c r="E54" s="37"/>
      <c r="F54" s="37"/>
      <c r="G54" s="37"/>
      <c r="H54" s="37"/>
      <c r="I54" s="37">
        <f>M54-K54</f>
        <v>0</v>
      </c>
      <c r="J54" s="37"/>
      <c r="K54" s="37">
        <f>SUM(BI54)</f>
        <v>0</v>
      </c>
      <c r="L54" s="37"/>
      <c r="M54" s="37"/>
      <c r="N54" s="37"/>
      <c r="O54" s="37"/>
      <c r="P54" s="37"/>
      <c r="Q54" s="37"/>
      <c r="R54" s="37"/>
      <c r="S54" s="37"/>
      <c r="T54" s="37"/>
      <c r="U54" s="37">
        <f>SUM(O54:S54)</f>
        <v>0</v>
      </c>
      <c r="V54" s="37"/>
      <c r="W54" s="13" t="s">
        <v>48</v>
      </c>
      <c r="X54" s="37"/>
      <c r="Y54" s="34"/>
      <c r="Z54" s="34"/>
      <c r="AA54" s="34"/>
      <c r="AB54" s="34"/>
      <c r="AC54" s="34"/>
      <c r="AD54" s="34"/>
      <c r="AE54" s="38">
        <f>+Y54-AA54-AC54</f>
        <v>0</v>
      </c>
      <c r="AF54" s="38"/>
      <c r="AG54" s="38"/>
      <c r="AH54" s="38"/>
      <c r="AI54" s="34"/>
      <c r="AJ54" s="34"/>
      <c r="AK54" s="34"/>
      <c r="AL54" s="34"/>
      <c r="AM54" s="34"/>
      <c r="AN54" s="34"/>
      <c r="AO54" s="38">
        <f>+AE54+AG54+AI54-AK54+AM54</f>
        <v>0</v>
      </c>
      <c r="AP54" s="38"/>
      <c r="AQ54" s="70" t="s">
        <v>163</v>
      </c>
      <c r="AR54" s="34"/>
      <c r="AS54" s="70" t="s">
        <v>163</v>
      </c>
      <c r="AT54" s="34"/>
      <c r="AU54" s="34">
        <f>+C54-I54</f>
        <v>0</v>
      </c>
      <c r="AV54" s="34"/>
      <c r="AW54" s="13" t="s">
        <v>48</v>
      </c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>
        <f t="shared" si="0"/>
        <v>0</v>
      </c>
      <c r="BJ54" s="34"/>
    </row>
    <row r="55" spans="1:61" ht="12">
      <c r="A55" s="13" t="s">
        <v>49</v>
      </c>
      <c r="C55" s="37">
        <f>G55-E55</f>
        <v>10861351</v>
      </c>
      <c r="D55" s="37"/>
      <c r="E55" s="37">
        <v>60748053</v>
      </c>
      <c r="F55" s="37"/>
      <c r="G55" s="37">
        <v>71609404</v>
      </c>
      <c r="H55" s="37"/>
      <c r="I55" s="37">
        <f>M55-K55</f>
        <v>13173231</v>
      </c>
      <c r="J55" s="37"/>
      <c r="K55" s="37">
        <f>SUM(BI55)</f>
        <v>38757687</v>
      </c>
      <c r="L55" s="37"/>
      <c r="M55" s="37">
        <v>51930918</v>
      </c>
      <c r="N55" s="37"/>
      <c r="O55" s="37">
        <v>17105164</v>
      </c>
      <c r="P55" s="37"/>
      <c r="Q55" s="37">
        <v>0</v>
      </c>
      <c r="R55" s="37"/>
      <c r="S55" s="37">
        <v>2573322</v>
      </c>
      <c r="T55" s="37"/>
      <c r="U55" s="37">
        <f>SUM(O55:S55)</f>
        <v>19678486</v>
      </c>
      <c r="V55" s="37"/>
      <c r="W55" s="13" t="s">
        <v>49</v>
      </c>
      <c r="X55" s="37"/>
      <c r="Y55" s="34">
        <v>19438081</v>
      </c>
      <c r="Z55" s="34"/>
      <c r="AA55" s="34">
        <f>10072118-AC55</f>
        <v>6622000</v>
      </c>
      <c r="AB55" s="34"/>
      <c r="AC55" s="34">
        <v>3450118</v>
      </c>
      <c r="AD55" s="34"/>
      <c r="AE55" s="38">
        <f>+Y55-AA55-AC55</f>
        <v>9365963</v>
      </c>
      <c r="AF55" s="38"/>
      <c r="AG55" s="38">
        <v>-5278433</v>
      </c>
      <c r="AH55" s="38"/>
      <c r="AI55" s="34">
        <v>0</v>
      </c>
      <c r="AJ55" s="34"/>
      <c r="AK55" s="34">
        <v>0</v>
      </c>
      <c r="AL55" s="34"/>
      <c r="AM55" s="34">
        <f>2054317+126636</f>
        <v>2180953</v>
      </c>
      <c r="AN55" s="34"/>
      <c r="AO55" s="38">
        <f>+AE55+AG55+AI55-AK55+AM55</f>
        <v>6268483</v>
      </c>
      <c r="AP55" s="38"/>
      <c r="AQ55" s="70" t="s">
        <v>163</v>
      </c>
      <c r="AR55" s="34"/>
      <c r="AS55" s="70" t="s">
        <v>163</v>
      </c>
      <c r="AT55" s="34"/>
      <c r="AU55" s="34">
        <f>+C55-I55</f>
        <v>-2311880</v>
      </c>
      <c r="AV55" s="34"/>
      <c r="AW55" s="13" t="s">
        <v>49</v>
      </c>
      <c r="AX55" s="34"/>
      <c r="AY55" s="34">
        <v>4340000</v>
      </c>
      <c r="AZ55" s="34"/>
      <c r="BA55" s="34">
        <v>0</v>
      </c>
      <c r="BB55" s="34"/>
      <c r="BC55" s="34">
        <v>33667380</v>
      </c>
      <c r="BD55" s="34"/>
      <c r="BE55" s="34">
        <f>680308+69999</f>
        <v>750307</v>
      </c>
      <c r="BF55" s="34"/>
      <c r="BG55" s="34"/>
      <c r="BH55" s="34"/>
      <c r="BI55" s="34">
        <f t="shared" si="0"/>
        <v>38757687</v>
      </c>
    </row>
    <row r="56" spans="1:62" ht="12" hidden="1">
      <c r="A56" s="13" t="s">
        <v>171</v>
      </c>
      <c r="C56" s="37">
        <v>0</v>
      </c>
      <c r="D56" s="37"/>
      <c r="E56" s="37">
        <v>0</v>
      </c>
      <c r="F56" s="37"/>
      <c r="G56" s="37">
        <v>0</v>
      </c>
      <c r="H56" s="37"/>
      <c r="I56" s="37">
        <v>0</v>
      </c>
      <c r="J56" s="37"/>
      <c r="K56" s="37">
        <v>0</v>
      </c>
      <c r="L56" s="37"/>
      <c r="M56" s="37">
        <v>0</v>
      </c>
      <c r="N56" s="37"/>
      <c r="O56" s="37">
        <v>0</v>
      </c>
      <c r="P56" s="37"/>
      <c r="Q56" s="37">
        <v>0</v>
      </c>
      <c r="R56" s="37"/>
      <c r="S56" s="37">
        <v>0</v>
      </c>
      <c r="T56" s="37"/>
      <c r="U56" s="37">
        <v>0</v>
      </c>
      <c r="V56" s="37"/>
      <c r="W56" s="13" t="s">
        <v>171</v>
      </c>
      <c r="X56" s="37"/>
      <c r="Y56" s="37">
        <v>0</v>
      </c>
      <c r="Z56" s="37"/>
      <c r="AA56" s="37">
        <v>0</v>
      </c>
      <c r="AB56" s="37"/>
      <c r="AC56" s="37">
        <v>0</v>
      </c>
      <c r="AD56" s="37"/>
      <c r="AE56" s="37">
        <v>0</v>
      </c>
      <c r="AF56" s="37"/>
      <c r="AG56" s="37">
        <v>0</v>
      </c>
      <c r="AH56" s="37"/>
      <c r="AI56" s="37">
        <v>0</v>
      </c>
      <c r="AJ56" s="37"/>
      <c r="AK56" s="37">
        <v>0</v>
      </c>
      <c r="AL56" s="37"/>
      <c r="AM56" s="37">
        <v>0</v>
      </c>
      <c r="AN56" s="37"/>
      <c r="AO56" s="37">
        <v>0</v>
      </c>
      <c r="AP56" s="37"/>
      <c r="AQ56" s="70" t="s">
        <v>163</v>
      </c>
      <c r="AR56" s="37"/>
      <c r="AS56" s="70" t="s">
        <v>163</v>
      </c>
      <c r="AT56" s="37"/>
      <c r="AU56" s="37">
        <v>0</v>
      </c>
      <c r="AV56" s="37"/>
      <c r="AW56" s="13" t="s">
        <v>171</v>
      </c>
      <c r="AX56" s="37"/>
      <c r="AY56" s="37">
        <v>0</v>
      </c>
      <c r="AZ56" s="37"/>
      <c r="BA56" s="37">
        <v>0</v>
      </c>
      <c r="BB56" s="37"/>
      <c r="BC56" s="37">
        <v>0</v>
      </c>
      <c r="BD56" s="37"/>
      <c r="BE56" s="37">
        <v>0</v>
      </c>
      <c r="BF56" s="37"/>
      <c r="BG56" s="37"/>
      <c r="BH56" s="37"/>
      <c r="BI56" s="34">
        <f t="shared" si="0"/>
        <v>0</v>
      </c>
      <c r="BJ56" s="8" t="s">
        <v>168</v>
      </c>
    </row>
    <row r="57" spans="1:61" ht="12">
      <c r="A57" s="13" t="s">
        <v>50</v>
      </c>
      <c r="C57" s="37">
        <f>G57-E57</f>
        <v>283233</v>
      </c>
      <c r="D57" s="37"/>
      <c r="E57" s="37">
        <f>911174-61240</f>
        <v>849934</v>
      </c>
      <c r="F57" s="37"/>
      <c r="G57" s="37">
        <v>1133167</v>
      </c>
      <c r="H57" s="37"/>
      <c r="I57" s="37">
        <f>M57-K57</f>
        <v>30620</v>
      </c>
      <c r="J57" s="37"/>
      <c r="K57" s="37">
        <f>SUM(BI57)</f>
        <v>530000</v>
      </c>
      <c r="L57" s="37"/>
      <c r="M57" s="37">
        <v>560620</v>
      </c>
      <c r="N57" s="37"/>
      <c r="O57" s="37">
        <v>0</v>
      </c>
      <c r="P57" s="37"/>
      <c r="Q57" s="37">
        <v>0</v>
      </c>
      <c r="R57" s="37"/>
      <c r="S57" s="37">
        <v>572547</v>
      </c>
      <c r="T57" s="37"/>
      <c r="U57" s="37">
        <f>SUM(O57:S57)</f>
        <v>572547</v>
      </c>
      <c r="V57" s="37"/>
      <c r="W57" s="13" t="s">
        <v>50</v>
      </c>
      <c r="X57" s="37"/>
      <c r="Y57" s="34">
        <v>324034</v>
      </c>
      <c r="Z57" s="34"/>
      <c r="AA57" s="34">
        <f>262991-132978</f>
        <v>130013</v>
      </c>
      <c r="AB57" s="34"/>
      <c r="AC57" s="34">
        <v>61043</v>
      </c>
      <c r="AD57" s="34"/>
      <c r="AE57" s="38">
        <f>+Y57-AA57-AC57</f>
        <v>132978</v>
      </c>
      <c r="AF57" s="38"/>
      <c r="AG57" s="38">
        <v>-28851</v>
      </c>
      <c r="AH57" s="38"/>
      <c r="AI57" s="34">
        <v>0</v>
      </c>
      <c r="AJ57" s="34"/>
      <c r="AK57" s="34">
        <v>48000</v>
      </c>
      <c r="AL57" s="34"/>
      <c r="AM57" s="34">
        <v>0</v>
      </c>
      <c r="AN57" s="34"/>
      <c r="AO57" s="38">
        <f>+AE57+AG57+AI57-AK57+AM57</f>
        <v>56127</v>
      </c>
      <c r="AP57" s="38"/>
      <c r="AQ57" s="70" t="s">
        <v>163</v>
      </c>
      <c r="AR57" s="34"/>
      <c r="AS57" s="70" t="s">
        <v>163</v>
      </c>
      <c r="AT57" s="34"/>
      <c r="AU57" s="34">
        <f>+C57-I57</f>
        <v>252613</v>
      </c>
      <c r="AV57" s="34"/>
      <c r="AW57" s="13" t="s">
        <v>50</v>
      </c>
      <c r="AX57" s="34"/>
      <c r="AY57" s="34">
        <v>530000</v>
      </c>
      <c r="AZ57" s="34"/>
      <c r="BA57" s="34">
        <v>0</v>
      </c>
      <c r="BB57" s="34"/>
      <c r="BC57" s="34">
        <v>0</v>
      </c>
      <c r="BD57" s="34"/>
      <c r="BE57" s="34">
        <v>0</v>
      </c>
      <c r="BF57" s="34"/>
      <c r="BG57" s="34"/>
      <c r="BH57" s="34"/>
      <c r="BI57" s="34">
        <f t="shared" si="0"/>
        <v>530000</v>
      </c>
    </row>
    <row r="58" spans="1:62" ht="12" hidden="1">
      <c r="A58" s="13" t="s">
        <v>51</v>
      </c>
      <c r="C58" s="37">
        <v>0</v>
      </c>
      <c r="D58" s="37"/>
      <c r="E58" s="37">
        <v>0</v>
      </c>
      <c r="F58" s="37"/>
      <c r="G58" s="37">
        <v>0</v>
      </c>
      <c r="H58" s="37"/>
      <c r="I58" s="37">
        <v>0</v>
      </c>
      <c r="J58" s="37"/>
      <c r="K58" s="37">
        <v>0</v>
      </c>
      <c r="L58" s="37"/>
      <c r="M58" s="37">
        <v>0</v>
      </c>
      <c r="N58" s="37"/>
      <c r="O58" s="37">
        <v>0</v>
      </c>
      <c r="P58" s="37"/>
      <c r="Q58" s="37">
        <v>0</v>
      </c>
      <c r="R58" s="37"/>
      <c r="S58" s="37">
        <v>0</v>
      </c>
      <c r="T58" s="37"/>
      <c r="U58" s="37">
        <v>0</v>
      </c>
      <c r="V58" s="37"/>
      <c r="W58" s="13" t="s">
        <v>51</v>
      </c>
      <c r="X58" s="37"/>
      <c r="Y58" s="37">
        <v>0</v>
      </c>
      <c r="Z58" s="37"/>
      <c r="AA58" s="37">
        <v>0</v>
      </c>
      <c r="AB58" s="37"/>
      <c r="AC58" s="37">
        <v>0</v>
      </c>
      <c r="AD58" s="37"/>
      <c r="AE58" s="37">
        <v>0</v>
      </c>
      <c r="AF58" s="37"/>
      <c r="AG58" s="37">
        <v>0</v>
      </c>
      <c r="AH58" s="37"/>
      <c r="AI58" s="37">
        <v>0</v>
      </c>
      <c r="AJ58" s="37"/>
      <c r="AK58" s="37">
        <v>0</v>
      </c>
      <c r="AL58" s="37"/>
      <c r="AM58" s="37">
        <v>0</v>
      </c>
      <c r="AN58" s="37"/>
      <c r="AO58" s="37">
        <v>0</v>
      </c>
      <c r="AP58" s="37"/>
      <c r="AQ58" s="70" t="s">
        <v>163</v>
      </c>
      <c r="AR58" s="37"/>
      <c r="AS58" s="70" t="s">
        <v>163</v>
      </c>
      <c r="AT58" s="37"/>
      <c r="AU58" s="37">
        <v>0</v>
      </c>
      <c r="AV58" s="37"/>
      <c r="AW58" s="13" t="s">
        <v>51</v>
      </c>
      <c r="AX58" s="37"/>
      <c r="AY58" s="37">
        <v>0</v>
      </c>
      <c r="AZ58" s="37"/>
      <c r="BA58" s="37">
        <v>0</v>
      </c>
      <c r="BB58" s="37"/>
      <c r="BC58" s="37">
        <v>0</v>
      </c>
      <c r="BD58" s="37"/>
      <c r="BE58" s="37">
        <v>0</v>
      </c>
      <c r="BF58" s="37"/>
      <c r="BG58" s="37"/>
      <c r="BH58" s="37"/>
      <c r="BI58" s="34">
        <f t="shared" si="0"/>
        <v>0</v>
      </c>
      <c r="BJ58" s="8" t="s">
        <v>168</v>
      </c>
    </row>
    <row r="59" spans="1:62" ht="12" hidden="1">
      <c r="A59" s="13" t="s">
        <v>52</v>
      </c>
      <c r="C59" s="37">
        <v>0</v>
      </c>
      <c r="D59" s="37"/>
      <c r="E59" s="37">
        <v>0</v>
      </c>
      <c r="F59" s="37"/>
      <c r="G59" s="37">
        <v>0</v>
      </c>
      <c r="H59" s="37"/>
      <c r="I59" s="37">
        <v>0</v>
      </c>
      <c r="J59" s="37"/>
      <c r="K59" s="37">
        <v>0</v>
      </c>
      <c r="L59" s="37"/>
      <c r="M59" s="37">
        <v>0</v>
      </c>
      <c r="N59" s="37"/>
      <c r="O59" s="37">
        <v>0</v>
      </c>
      <c r="P59" s="37"/>
      <c r="Q59" s="37">
        <v>0</v>
      </c>
      <c r="R59" s="37"/>
      <c r="S59" s="37">
        <v>0</v>
      </c>
      <c r="T59" s="37"/>
      <c r="U59" s="37">
        <v>0</v>
      </c>
      <c r="V59" s="37"/>
      <c r="W59" s="13" t="s">
        <v>52</v>
      </c>
      <c r="X59" s="37"/>
      <c r="Y59" s="37">
        <v>0</v>
      </c>
      <c r="Z59" s="37"/>
      <c r="AA59" s="37">
        <v>0</v>
      </c>
      <c r="AB59" s="37"/>
      <c r="AC59" s="37">
        <v>0</v>
      </c>
      <c r="AD59" s="37"/>
      <c r="AE59" s="37">
        <v>0</v>
      </c>
      <c r="AF59" s="37"/>
      <c r="AG59" s="37">
        <v>0</v>
      </c>
      <c r="AH59" s="37"/>
      <c r="AI59" s="37">
        <v>0</v>
      </c>
      <c r="AJ59" s="37"/>
      <c r="AK59" s="37">
        <v>0</v>
      </c>
      <c r="AL59" s="37"/>
      <c r="AM59" s="37">
        <v>0</v>
      </c>
      <c r="AN59" s="37"/>
      <c r="AO59" s="37">
        <v>0</v>
      </c>
      <c r="AP59" s="37"/>
      <c r="AQ59" s="70" t="s">
        <v>163</v>
      </c>
      <c r="AR59" s="37"/>
      <c r="AS59" s="70" t="s">
        <v>163</v>
      </c>
      <c r="AT59" s="37"/>
      <c r="AU59" s="37">
        <v>0</v>
      </c>
      <c r="AV59" s="37"/>
      <c r="AW59" s="13" t="s">
        <v>52</v>
      </c>
      <c r="AX59" s="37"/>
      <c r="AY59" s="37">
        <v>0</v>
      </c>
      <c r="AZ59" s="37"/>
      <c r="BA59" s="37">
        <v>0</v>
      </c>
      <c r="BB59" s="37"/>
      <c r="BC59" s="37">
        <v>0</v>
      </c>
      <c r="BD59" s="37"/>
      <c r="BE59" s="37">
        <v>0</v>
      </c>
      <c r="BF59" s="37"/>
      <c r="BG59" s="37"/>
      <c r="BH59" s="37"/>
      <c r="BI59" s="34">
        <f t="shared" si="0"/>
        <v>0</v>
      </c>
      <c r="BJ59" s="8" t="s">
        <v>168</v>
      </c>
    </row>
    <row r="60" spans="1:61" ht="12">
      <c r="A60" s="13" t="s">
        <v>196</v>
      </c>
      <c r="C60" s="37">
        <f>G60-E60</f>
        <v>2648000</v>
      </c>
      <c r="D60" s="37"/>
      <c r="E60" s="37">
        <f>37972000</f>
        <v>37972000</v>
      </c>
      <c r="F60" s="37"/>
      <c r="G60" s="37">
        <v>40620000</v>
      </c>
      <c r="H60" s="37"/>
      <c r="I60" s="37">
        <f>M60-K60</f>
        <v>183000</v>
      </c>
      <c r="J60" s="37"/>
      <c r="K60" s="37">
        <f>SUM(BI60)</f>
        <v>4721000</v>
      </c>
      <c r="L60" s="37"/>
      <c r="M60" s="37">
        <v>4904000</v>
      </c>
      <c r="N60" s="37"/>
      <c r="O60" s="37">
        <v>33131000</v>
      </c>
      <c r="P60" s="37"/>
      <c r="Q60" s="37">
        <v>0</v>
      </c>
      <c r="R60" s="37"/>
      <c r="S60" s="37">
        <v>2585000</v>
      </c>
      <c r="T60" s="37"/>
      <c r="U60" s="37">
        <f>SUM(O60:S60)</f>
        <v>35716000</v>
      </c>
      <c r="V60" s="37"/>
      <c r="W60" s="13" t="s">
        <v>196</v>
      </c>
      <c r="X60" s="37"/>
      <c r="Y60" s="34">
        <v>1510000</v>
      </c>
      <c r="Z60" s="34"/>
      <c r="AA60" s="34">
        <f>2057000-1452000</f>
        <v>605000</v>
      </c>
      <c r="AB60" s="34"/>
      <c r="AC60" s="34">
        <v>1452000</v>
      </c>
      <c r="AD60" s="34"/>
      <c r="AE60" s="38">
        <f>+Y60-AA60-AC60</f>
        <v>-547000</v>
      </c>
      <c r="AF60" s="38"/>
      <c r="AG60" s="38">
        <v>-312000</v>
      </c>
      <c r="AH60" s="38"/>
      <c r="AI60" s="34">
        <v>0</v>
      </c>
      <c r="AJ60" s="34"/>
      <c r="AK60" s="34">
        <v>95000</v>
      </c>
      <c r="AL60" s="34"/>
      <c r="AM60" s="34">
        <v>2779000</v>
      </c>
      <c r="AN60" s="34"/>
      <c r="AO60" s="38">
        <f>+AE60+AG60+AI60-AK60+AM60</f>
        <v>1825000</v>
      </c>
      <c r="AP60" s="38"/>
      <c r="AQ60" s="70" t="s">
        <v>163</v>
      </c>
      <c r="AR60" s="34"/>
      <c r="AS60" s="70" t="s">
        <v>163</v>
      </c>
      <c r="AT60" s="34"/>
      <c r="AU60" s="34">
        <f>+C60-I60</f>
        <v>2465000</v>
      </c>
      <c r="AV60" s="34"/>
      <c r="AW60" s="13" t="s">
        <v>196</v>
      </c>
      <c r="AX60" s="34"/>
      <c r="AY60" s="34">
        <v>0</v>
      </c>
      <c r="AZ60" s="34"/>
      <c r="BA60" s="34">
        <v>0</v>
      </c>
      <c r="BB60" s="34"/>
      <c r="BC60" s="34">
        <v>4721000</v>
      </c>
      <c r="BD60" s="34"/>
      <c r="BE60" s="34">
        <v>0</v>
      </c>
      <c r="BF60" s="34"/>
      <c r="BG60" s="34"/>
      <c r="BH60" s="34"/>
      <c r="BI60" s="34">
        <f t="shared" si="0"/>
        <v>4721000</v>
      </c>
    </row>
    <row r="61" spans="1:61" ht="12" hidden="1">
      <c r="A61" s="13" t="s">
        <v>53</v>
      </c>
      <c r="C61" s="37">
        <f>G61-E61</f>
        <v>0</v>
      </c>
      <c r="D61" s="37"/>
      <c r="E61" s="37">
        <v>0</v>
      </c>
      <c r="F61" s="37"/>
      <c r="G61" s="37">
        <v>0</v>
      </c>
      <c r="H61" s="37"/>
      <c r="I61" s="37">
        <v>0</v>
      </c>
      <c r="J61" s="37"/>
      <c r="K61" s="37">
        <v>0</v>
      </c>
      <c r="L61" s="37"/>
      <c r="M61" s="37">
        <v>0</v>
      </c>
      <c r="N61" s="37"/>
      <c r="O61" s="37">
        <v>0</v>
      </c>
      <c r="P61" s="37"/>
      <c r="Q61" s="37">
        <v>0</v>
      </c>
      <c r="R61" s="37"/>
      <c r="S61" s="37">
        <v>0</v>
      </c>
      <c r="T61" s="37"/>
      <c r="U61" s="37">
        <f>SUM(O61:S61)</f>
        <v>0</v>
      </c>
      <c r="V61" s="37"/>
      <c r="W61" s="13" t="s">
        <v>53</v>
      </c>
      <c r="X61" s="37"/>
      <c r="Y61" s="34">
        <v>6030</v>
      </c>
      <c r="Z61" s="34"/>
      <c r="AA61" s="34">
        <v>12214</v>
      </c>
      <c r="AB61" s="34"/>
      <c r="AC61" s="34"/>
      <c r="AD61" s="34"/>
      <c r="AE61" s="38">
        <f>+Y61-AA61-AC61</f>
        <v>-6184</v>
      </c>
      <c r="AF61" s="38"/>
      <c r="AG61" s="38"/>
      <c r="AH61" s="38"/>
      <c r="AI61" s="34"/>
      <c r="AJ61" s="34"/>
      <c r="AK61" s="34"/>
      <c r="AL61" s="34"/>
      <c r="AM61" s="34"/>
      <c r="AN61" s="34"/>
      <c r="AO61" s="38">
        <f>+AE61+AG61+AI61-AK61+AM61</f>
        <v>-6184</v>
      </c>
      <c r="AP61" s="38"/>
      <c r="AQ61" s="70" t="s">
        <v>163</v>
      </c>
      <c r="AR61" s="34"/>
      <c r="AS61" s="70" t="s">
        <v>163</v>
      </c>
      <c r="AT61" s="34"/>
      <c r="AU61" s="34">
        <f>+C61-I61</f>
        <v>0</v>
      </c>
      <c r="AV61" s="34"/>
      <c r="AW61" s="13" t="s">
        <v>53</v>
      </c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>
        <f t="shared" si="0"/>
        <v>0</v>
      </c>
    </row>
    <row r="62" spans="1:62" ht="12">
      <c r="A62" s="13" t="s">
        <v>54</v>
      </c>
      <c r="C62" s="37">
        <f>G62-E62</f>
        <v>1420256</v>
      </c>
      <c r="D62" s="37"/>
      <c r="E62" s="37">
        <v>2294160</v>
      </c>
      <c r="F62" s="37"/>
      <c r="G62" s="37">
        <v>3714416</v>
      </c>
      <c r="H62" s="37"/>
      <c r="I62" s="37">
        <f>M62-K62</f>
        <v>821587</v>
      </c>
      <c r="J62" s="37"/>
      <c r="K62" s="37">
        <f>SUM(BI62)</f>
        <v>315195</v>
      </c>
      <c r="L62" s="37"/>
      <c r="M62" s="37">
        <v>1136782</v>
      </c>
      <c r="N62" s="37"/>
      <c r="O62" s="37">
        <v>1938379</v>
      </c>
      <c r="P62" s="37"/>
      <c r="Q62" s="37">
        <v>0</v>
      </c>
      <c r="R62" s="37"/>
      <c r="S62" s="37">
        <v>639255</v>
      </c>
      <c r="T62" s="37"/>
      <c r="U62" s="37">
        <f>SUM(O62:S62)</f>
        <v>2577634</v>
      </c>
      <c r="V62" s="37"/>
      <c r="W62" s="13" t="s">
        <v>54</v>
      </c>
      <c r="X62" s="37"/>
      <c r="Y62" s="34">
        <v>253342</v>
      </c>
      <c r="Z62" s="34"/>
      <c r="AA62" s="34">
        <f>273969-82856</f>
        <v>191113</v>
      </c>
      <c r="AB62" s="34"/>
      <c r="AC62" s="34">
        <v>82856</v>
      </c>
      <c r="AD62" s="34"/>
      <c r="AE62" s="38">
        <f>+Y62-AA62-AC62</f>
        <v>-20627</v>
      </c>
      <c r="AF62" s="38"/>
      <c r="AG62" s="38">
        <v>15372</v>
      </c>
      <c r="AH62" s="38"/>
      <c r="AI62" s="34">
        <v>185500</v>
      </c>
      <c r="AJ62" s="34"/>
      <c r="AK62" s="34">
        <v>171500</v>
      </c>
      <c r="AL62" s="34"/>
      <c r="AM62" s="34">
        <v>88000</v>
      </c>
      <c r="AN62" s="34"/>
      <c r="AO62" s="38">
        <f>+AE62+AG62+AI62-AK62+AM62</f>
        <v>96745</v>
      </c>
      <c r="AP62" s="38"/>
      <c r="AQ62" s="70" t="s">
        <v>163</v>
      </c>
      <c r="AR62" s="34"/>
      <c r="AS62" s="70" t="s">
        <v>163</v>
      </c>
      <c r="AT62" s="34"/>
      <c r="AU62" s="34">
        <f>+C62-I62</f>
        <v>598669</v>
      </c>
      <c r="AV62" s="34"/>
      <c r="AW62" s="13" t="s">
        <v>54</v>
      </c>
      <c r="AX62" s="34"/>
      <c r="AY62" s="34">
        <v>8216</v>
      </c>
      <c r="AZ62" s="34"/>
      <c r="BA62" s="34">
        <v>0</v>
      </c>
      <c r="BB62" s="34"/>
      <c r="BC62" s="34">
        <v>301784</v>
      </c>
      <c r="BD62" s="34"/>
      <c r="BE62" s="34">
        <v>5195</v>
      </c>
      <c r="BF62" s="34"/>
      <c r="BG62" s="34"/>
      <c r="BH62" s="34"/>
      <c r="BI62" s="34">
        <f t="shared" si="0"/>
        <v>315195</v>
      </c>
      <c r="BJ62" s="8" t="s">
        <v>166</v>
      </c>
    </row>
    <row r="63" spans="1:256" ht="12" hidden="1">
      <c r="A63" s="72" t="s">
        <v>55</v>
      </c>
      <c r="B63" s="72"/>
      <c r="C63" s="37">
        <v>0</v>
      </c>
      <c r="D63" s="37"/>
      <c r="E63" s="37">
        <v>0</v>
      </c>
      <c r="F63" s="37"/>
      <c r="G63" s="37">
        <v>0</v>
      </c>
      <c r="H63" s="37"/>
      <c r="I63" s="37">
        <v>0</v>
      </c>
      <c r="J63" s="37"/>
      <c r="K63" s="37">
        <v>0</v>
      </c>
      <c r="L63" s="37"/>
      <c r="M63" s="37">
        <v>0</v>
      </c>
      <c r="N63" s="37"/>
      <c r="O63" s="37">
        <v>0</v>
      </c>
      <c r="P63" s="37"/>
      <c r="Q63" s="37">
        <v>0</v>
      </c>
      <c r="R63" s="37"/>
      <c r="S63" s="37">
        <v>0</v>
      </c>
      <c r="T63" s="37"/>
      <c r="U63" s="37">
        <v>0</v>
      </c>
      <c r="V63" s="37"/>
      <c r="W63" s="72" t="s">
        <v>55</v>
      </c>
      <c r="X63" s="37"/>
      <c r="Y63" s="37">
        <v>0</v>
      </c>
      <c r="Z63" s="37"/>
      <c r="AA63" s="37">
        <v>0</v>
      </c>
      <c r="AB63" s="37"/>
      <c r="AC63" s="37">
        <v>0</v>
      </c>
      <c r="AD63" s="37"/>
      <c r="AE63" s="37">
        <v>0</v>
      </c>
      <c r="AF63" s="37"/>
      <c r="AG63" s="37">
        <v>0</v>
      </c>
      <c r="AH63" s="37"/>
      <c r="AI63" s="37">
        <v>0</v>
      </c>
      <c r="AJ63" s="37"/>
      <c r="AK63" s="37">
        <v>0</v>
      </c>
      <c r="AL63" s="37"/>
      <c r="AM63" s="37">
        <v>0</v>
      </c>
      <c r="AN63" s="37"/>
      <c r="AO63" s="37">
        <v>0</v>
      </c>
      <c r="AP63" s="37"/>
      <c r="AQ63" s="70" t="s">
        <v>163</v>
      </c>
      <c r="AR63" s="37"/>
      <c r="AS63" s="70" t="s">
        <v>163</v>
      </c>
      <c r="AT63" s="37"/>
      <c r="AU63" s="37">
        <v>0</v>
      </c>
      <c r="AV63" s="37"/>
      <c r="AW63" s="72" t="s">
        <v>55</v>
      </c>
      <c r="AX63" s="37"/>
      <c r="AY63" s="37">
        <v>0</v>
      </c>
      <c r="AZ63" s="37"/>
      <c r="BA63" s="37">
        <v>0</v>
      </c>
      <c r="BB63" s="37"/>
      <c r="BC63" s="37">
        <v>0</v>
      </c>
      <c r="BD63" s="37"/>
      <c r="BE63" s="37">
        <v>0</v>
      </c>
      <c r="BF63" s="37"/>
      <c r="BG63" s="37"/>
      <c r="BH63" s="37"/>
      <c r="BI63" s="34">
        <f t="shared" si="0"/>
        <v>0</v>
      </c>
      <c r="BJ63" s="8" t="s">
        <v>166</v>
      </c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62" ht="12">
      <c r="A64" s="13" t="s">
        <v>56</v>
      </c>
      <c r="C64" s="37">
        <f>G64-E64</f>
        <v>7231905</v>
      </c>
      <c r="D64" s="37"/>
      <c r="E64" s="37">
        <v>78642865</v>
      </c>
      <c r="F64" s="37"/>
      <c r="G64" s="37">
        <v>85874770</v>
      </c>
      <c r="H64" s="37"/>
      <c r="I64" s="37">
        <f>M64-K64</f>
        <v>2877418</v>
      </c>
      <c r="J64" s="37"/>
      <c r="K64" s="37">
        <f>SUM(BI64)</f>
        <v>32346854</v>
      </c>
      <c r="L64" s="37"/>
      <c r="M64" s="37">
        <v>35224272</v>
      </c>
      <c r="N64" s="37"/>
      <c r="O64" s="37">
        <v>45165757</v>
      </c>
      <c r="P64" s="37"/>
      <c r="Q64" s="37">
        <v>0</v>
      </c>
      <c r="R64" s="37"/>
      <c r="S64" s="37">
        <v>5484741</v>
      </c>
      <c r="T64" s="37"/>
      <c r="U64" s="37">
        <f>SUM(O64:S64)</f>
        <v>50650498</v>
      </c>
      <c r="V64" s="37"/>
      <c r="W64" s="13" t="s">
        <v>56</v>
      </c>
      <c r="X64" s="37"/>
      <c r="Y64" s="34">
        <v>6127298</v>
      </c>
      <c r="Z64" s="34"/>
      <c r="AA64" s="34">
        <f>3707309-758026</f>
        <v>2949283</v>
      </c>
      <c r="AB64" s="34"/>
      <c r="AC64" s="34">
        <v>758026</v>
      </c>
      <c r="AD64" s="34"/>
      <c r="AE64" s="38">
        <f>+Y64-AA64-AC64</f>
        <v>2419989</v>
      </c>
      <c r="AF64" s="38"/>
      <c r="AG64" s="38">
        <v>-933429</v>
      </c>
      <c r="AH64" s="38"/>
      <c r="AI64" s="34">
        <v>0</v>
      </c>
      <c r="AJ64" s="34"/>
      <c r="AK64" s="34">
        <v>29439</v>
      </c>
      <c r="AL64" s="34"/>
      <c r="AM64" s="34">
        <v>6207036</v>
      </c>
      <c r="AN64" s="34"/>
      <c r="AO64" s="38">
        <f>+AE64+AG64+AI64-AK64+AM64</f>
        <v>7664157</v>
      </c>
      <c r="AP64" s="38"/>
      <c r="AQ64" s="70" t="s">
        <v>163</v>
      </c>
      <c r="AR64" s="34"/>
      <c r="AS64" s="70" t="s">
        <v>163</v>
      </c>
      <c r="AT64" s="34"/>
      <c r="AU64" s="34">
        <f>+C64-I64</f>
        <v>4354487</v>
      </c>
      <c r="AV64" s="34"/>
      <c r="AW64" s="13" t="s">
        <v>56</v>
      </c>
      <c r="AX64" s="34"/>
      <c r="AY64" s="34">
        <v>0</v>
      </c>
      <c r="AZ64" s="34"/>
      <c r="BA64" s="34">
        <v>537901</v>
      </c>
      <c r="BB64" s="34"/>
      <c r="BC64" s="34">
        <v>31757696</v>
      </c>
      <c r="BD64" s="34"/>
      <c r="BE64" s="34">
        <v>51257</v>
      </c>
      <c r="BF64" s="34"/>
      <c r="BG64" s="34"/>
      <c r="BH64" s="34"/>
      <c r="BI64" s="34">
        <f t="shared" si="0"/>
        <v>32346854</v>
      </c>
      <c r="BJ64" s="8" t="s">
        <v>166</v>
      </c>
    </row>
    <row r="65" spans="1:62" ht="12" hidden="1">
      <c r="A65" s="13" t="s">
        <v>173</v>
      </c>
      <c r="C65" s="37">
        <v>0</v>
      </c>
      <c r="D65" s="37"/>
      <c r="E65" s="37">
        <v>0</v>
      </c>
      <c r="F65" s="37"/>
      <c r="G65" s="37">
        <v>0</v>
      </c>
      <c r="H65" s="37"/>
      <c r="I65" s="37">
        <v>0</v>
      </c>
      <c r="J65" s="37"/>
      <c r="K65" s="37">
        <v>0</v>
      </c>
      <c r="L65" s="37"/>
      <c r="M65" s="37">
        <v>0</v>
      </c>
      <c r="N65" s="37"/>
      <c r="O65" s="37">
        <v>0</v>
      </c>
      <c r="P65" s="37"/>
      <c r="Q65" s="37">
        <v>0</v>
      </c>
      <c r="R65" s="37"/>
      <c r="S65" s="37">
        <v>0</v>
      </c>
      <c r="T65" s="37"/>
      <c r="U65" s="37">
        <v>0</v>
      </c>
      <c r="V65" s="37"/>
      <c r="W65" s="13" t="s">
        <v>173</v>
      </c>
      <c r="X65" s="37"/>
      <c r="Y65" s="37">
        <v>0</v>
      </c>
      <c r="Z65" s="37"/>
      <c r="AA65" s="37">
        <v>0</v>
      </c>
      <c r="AB65" s="37"/>
      <c r="AC65" s="37">
        <v>0</v>
      </c>
      <c r="AD65" s="37"/>
      <c r="AE65" s="37">
        <v>0</v>
      </c>
      <c r="AF65" s="37"/>
      <c r="AG65" s="37">
        <v>0</v>
      </c>
      <c r="AH65" s="37"/>
      <c r="AI65" s="37">
        <v>0</v>
      </c>
      <c r="AJ65" s="37"/>
      <c r="AK65" s="37">
        <v>0</v>
      </c>
      <c r="AL65" s="37"/>
      <c r="AM65" s="37">
        <v>0</v>
      </c>
      <c r="AN65" s="37"/>
      <c r="AO65" s="37">
        <v>0</v>
      </c>
      <c r="AP65" s="37"/>
      <c r="AQ65" s="37">
        <v>0</v>
      </c>
      <c r="AR65" s="37"/>
      <c r="AS65" s="70" t="s">
        <v>163</v>
      </c>
      <c r="AT65" s="37"/>
      <c r="AU65" s="37">
        <v>0</v>
      </c>
      <c r="AV65" s="37"/>
      <c r="AW65" s="13" t="s">
        <v>173</v>
      </c>
      <c r="AX65" s="37"/>
      <c r="AY65" s="37">
        <v>0</v>
      </c>
      <c r="AZ65" s="37"/>
      <c r="BA65" s="37">
        <v>0</v>
      </c>
      <c r="BB65" s="37"/>
      <c r="BC65" s="37">
        <v>0</v>
      </c>
      <c r="BD65" s="37"/>
      <c r="BE65" s="37">
        <v>0</v>
      </c>
      <c r="BF65" s="37"/>
      <c r="BG65" s="37"/>
      <c r="BH65" s="37"/>
      <c r="BI65" s="34">
        <f t="shared" si="0"/>
        <v>0</v>
      </c>
      <c r="BJ65" s="8" t="s">
        <v>166</v>
      </c>
    </row>
    <row r="66" spans="1:62" ht="12" hidden="1">
      <c r="A66" s="13" t="s">
        <v>57</v>
      </c>
      <c r="C66" s="37">
        <v>0</v>
      </c>
      <c r="D66" s="37"/>
      <c r="E66" s="37">
        <v>0</v>
      </c>
      <c r="F66" s="37"/>
      <c r="G66" s="37">
        <v>0</v>
      </c>
      <c r="H66" s="37"/>
      <c r="I66" s="37">
        <v>0</v>
      </c>
      <c r="J66" s="37"/>
      <c r="K66" s="37">
        <v>0</v>
      </c>
      <c r="L66" s="37"/>
      <c r="M66" s="37">
        <v>0</v>
      </c>
      <c r="N66" s="37"/>
      <c r="O66" s="37">
        <v>0</v>
      </c>
      <c r="P66" s="37"/>
      <c r="Q66" s="37">
        <v>0</v>
      </c>
      <c r="R66" s="37"/>
      <c r="S66" s="37">
        <v>0</v>
      </c>
      <c r="T66" s="37"/>
      <c r="U66" s="37">
        <v>0</v>
      </c>
      <c r="V66" s="37"/>
      <c r="W66" s="13" t="s">
        <v>57</v>
      </c>
      <c r="X66" s="37"/>
      <c r="Y66" s="37">
        <v>0</v>
      </c>
      <c r="Z66" s="37"/>
      <c r="AA66" s="37">
        <v>0</v>
      </c>
      <c r="AB66" s="37"/>
      <c r="AC66" s="37">
        <v>0</v>
      </c>
      <c r="AD66" s="37"/>
      <c r="AE66" s="37">
        <v>0</v>
      </c>
      <c r="AF66" s="37"/>
      <c r="AG66" s="37">
        <v>0</v>
      </c>
      <c r="AH66" s="37"/>
      <c r="AI66" s="37">
        <v>0</v>
      </c>
      <c r="AJ66" s="37"/>
      <c r="AK66" s="37">
        <v>0</v>
      </c>
      <c r="AL66" s="37"/>
      <c r="AM66" s="37">
        <v>0</v>
      </c>
      <c r="AN66" s="37"/>
      <c r="AO66" s="37">
        <v>0</v>
      </c>
      <c r="AP66" s="37"/>
      <c r="AQ66" s="37">
        <v>0</v>
      </c>
      <c r="AR66" s="37"/>
      <c r="AS66" s="70" t="s">
        <v>163</v>
      </c>
      <c r="AT66" s="37"/>
      <c r="AU66" s="37">
        <v>0</v>
      </c>
      <c r="AV66" s="37"/>
      <c r="AW66" s="13" t="s">
        <v>57</v>
      </c>
      <c r="AX66" s="37"/>
      <c r="AY66" s="37">
        <v>0</v>
      </c>
      <c r="AZ66" s="37"/>
      <c r="BA66" s="37">
        <v>0</v>
      </c>
      <c r="BB66" s="37"/>
      <c r="BC66" s="37">
        <v>0</v>
      </c>
      <c r="BD66" s="37"/>
      <c r="BE66" s="37">
        <v>0</v>
      </c>
      <c r="BF66" s="37"/>
      <c r="BG66" s="37"/>
      <c r="BH66" s="37"/>
      <c r="BI66" s="34">
        <f t="shared" si="0"/>
        <v>0</v>
      </c>
      <c r="BJ66" s="8" t="s">
        <v>168</v>
      </c>
    </row>
    <row r="67" spans="1:62" ht="12">
      <c r="A67" s="13" t="s">
        <v>58</v>
      </c>
      <c r="C67" s="37">
        <f>G67-E67</f>
        <v>716431</v>
      </c>
      <c r="D67" s="37"/>
      <c r="E67" s="37">
        <v>3630243</v>
      </c>
      <c r="F67" s="37"/>
      <c r="G67" s="37">
        <v>4346674</v>
      </c>
      <c r="H67" s="37"/>
      <c r="I67" s="37">
        <f>M67-K67</f>
        <v>141970</v>
      </c>
      <c r="J67" s="37"/>
      <c r="K67" s="37">
        <f>SUM(BI67)</f>
        <v>1935791</v>
      </c>
      <c r="L67" s="37"/>
      <c r="M67" s="37">
        <v>2077761</v>
      </c>
      <c r="N67" s="37"/>
      <c r="O67" s="37">
        <v>0</v>
      </c>
      <c r="P67" s="37"/>
      <c r="Q67" s="37">
        <v>0</v>
      </c>
      <c r="R67" s="37"/>
      <c r="S67" s="37">
        <v>2268913</v>
      </c>
      <c r="T67" s="37"/>
      <c r="U67" s="37">
        <f>SUM(O67:S67)</f>
        <v>2268913</v>
      </c>
      <c r="V67" s="37"/>
      <c r="W67" s="13" t="s">
        <v>58</v>
      </c>
      <c r="X67" s="37"/>
      <c r="Y67" s="37">
        <v>791502</v>
      </c>
      <c r="Z67" s="37"/>
      <c r="AA67" s="37">
        <f>598502-75483</f>
        <v>523019</v>
      </c>
      <c r="AB67" s="37"/>
      <c r="AC67" s="37">
        <v>75483</v>
      </c>
      <c r="AD67" s="37"/>
      <c r="AE67" s="38">
        <f>+Y67-AA67-AC67</f>
        <v>193000</v>
      </c>
      <c r="AF67" s="38"/>
      <c r="AG67" s="37">
        <v>-65725</v>
      </c>
      <c r="AH67" s="37"/>
      <c r="AI67" s="37">
        <v>0</v>
      </c>
      <c r="AJ67" s="37"/>
      <c r="AK67" s="37">
        <v>0</v>
      </c>
      <c r="AL67" s="37"/>
      <c r="AM67" s="37">
        <v>0</v>
      </c>
      <c r="AN67" s="37"/>
      <c r="AO67" s="38">
        <f>+AE67+AG67+AI67-AK67+AM67</f>
        <v>127275</v>
      </c>
      <c r="AP67" s="38"/>
      <c r="AQ67" s="37">
        <v>290816</v>
      </c>
      <c r="AR67" s="37"/>
      <c r="AS67" s="70" t="s">
        <v>163</v>
      </c>
      <c r="AT67" s="37"/>
      <c r="AU67" s="34">
        <f>+C67-I67</f>
        <v>574461</v>
      </c>
      <c r="AV67" s="34"/>
      <c r="AW67" s="13" t="s">
        <v>58</v>
      </c>
      <c r="AX67" s="34"/>
      <c r="AY67" s="37">
        <f>600791+860000</f>
        <v>1460791</v>
      </c>
      <c r="AZ67" s="37"/>
      <c r="BA67" s="37">
        <v>0</v>
      </c>
      <c r="BB67" s="37"/>
      <c r="BC67" s="37">
        <v>475000</v>
      </c>
      <c r="BD67" s="37"/>
      <c r="BE67" s="37">
        <v>0</v>
      </c>
      <c r="BF67" s="37"/>
      <c r="BG67" s="37"/>
      <c r="BH67" s="37"/>
      <c r="BI67" s="34">
        <f t="shared" si="0"/>
        <v>1935791</v>
      </c>
      <c r="BJ67" s="8" t="s">
        <v>167</v>
      </c>
    </row>
    <row r="68" spans="1:61" ht="12" hidden="1">
      <c r="A68" s="13" t="s">
        <v>59</v>
      </c>
      <c r="C68" s="37">
        <f>G68-E68</f>
        <v>0</v>
      </c>
      <c r="D68" s="37"/>
      <c r="E68" s="37"/>
      <c r="F68" s="37"/>
      <c r="G68" s="37"/>
      <c r="H68" s="37"/>
      <c r="I68" s="37">
        <f>M68-K68</f>
        <v>0</v>
      </c>
      <c r="J68" s="37"/>
      <c r="K68" s="37">
        <f>SUM(BI68)</f>
        <v>0</v>
      </c>
      <c r="L68" s="37"/>
      <c r="M68" s="37"/>
      <c r="N68" s="37"/>
      <c r="O68" s="37"/>
      <c r="P68" s="37"/>
      <c r="Q68" s="37"/>
      <c r="R68" s="37"/>
      <c r="S68" s="37"/>
      <c r="T68" s="37"/>
      <c r="U68" s="37">
        <f>SUM(O68:S68)</f>
        <v>0</v>
      </c>
      <c r="V68" s="37"/>
      <c r="W68" s="13" t="s">
        <v>59</v>
      </c>
      <c r="X68" s="37"/>
      <c r="Y68" s="34"/>
      <c r="Z68" s="34"/>
      <c r="AA68" s="34"/>
      <c r="AB68" s="34"/>
      <c r="AC68" s="34"/>
      <c r="AD68" s="34"/>
      <c r="AE68" s="38">
        <f>+Y68-AA68-AC68</f>
        <v>0</v>
      </c>
      <c r="AF68" s="38"/>
      <c r="AG68" s="38"/>
      <c r="AH68" s="38"/>
      <c r="AI68" s="34"/>
      <c r="AJ68" s="34"/>
      <c r="AK68" s="34"/>
      <c r="AL68" s="34"/>
      <c r="AM68" s="34"/>
      <c r="AN68" s="34"/>
      <c r="AO68" s="38">
        <f>+AE68+AG68+AI68-AK68+AM68</f>
        <v>0</v>
      </c>
      <c r="AP68" s="38"/>
      <c r="AQ68" s="34"/>
      <c r="AR68" s="34"/>
      <c r="AS68" s="70" t="s">
        <v>163</v>
      </c>
      <c r="AT68" s="34"/>
      <c r="AU68" s="34">
        <f>+C68-I68</f>
        <v>0</v>
      </c>
      <c r="AV68" s="34"/>
      <c r="AW68" s="13" t="s">
        <v>59</v>
      </c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>
        <f t="shared" si="0"/>
        <v>0</v>
      </c>
    </row>
    <row r="69" spans="1:61" ht="12">
      <c r="A69" s="13" t="s">
        <v>60</v>
      </c>
      <c r="C69" s="37">
        <f>G69-E69</f>
        <v>57323507</v>
      </c>
      <c r="D69" s="37"/>
      <c r="E69" s="37">
        <f>2186917+74545+129745606+10846091+2785725-67434568+30851590</f>
        <v>109055906</v>
      </c>
      <c r="F69" s="37"/>
      <c r="G69" s="37">
        <v>166379413</v>
      </c>
      <c r="H69" s="37"/>
      <c r="I69" s="37">
        <f>M69-K69</f>
        <v>4028894</v>
      </c>
      <c r="J69" s="37"/>
      <c r="K69" s="37">
        <f>SUM(BI69)</f>
        <v>48326083</v>
      </c>
      <c r="L69" s="37"/>
      <c r="M69" s="37">
        <v>52354977</v>
      </c>
      <c r="N69" s="37"/>
      <c r="O69" s="37">
        <v>63458381</v>
      </c>
      <c r="P69" s="37"/>
      <c r="Q69" s="37">
        <v>0</v>
      </c>
      <c r="R69" s="37"/>
      <c r="S69" s="37">
        <v>50566055</v>
      </c>
      <c r="T69" s="37"/>
      <c r="U69" s="37">
        <f>SUM(O69:S69)</f>
        <v>114024436</v>
      </c>
      <c r="V69" s="37"/>
      <c r="W69" s="13" t="s">
        <v>60</v>
      </c>
      <c r="X69" s="37"/>
      <c r="Y69" s="34">
        <v>29941021</v>
      </c>
      <c r="Z69" s="34"/>
      <c r="AA69" s="34">
        <f>28028862-2848452</f>
        <v>25180410</v>
      </c>
      <c r="AB69" s="34"/>
      <c r="AC69" s="34">
        <v>2848452</v>
      </c>
      <c r="AD69" s="34"/>
      <c r="AE69" s="38">
        <f>+Y69-AA69-AC69</f>
        <v>1912159</v>
      </c>
      <c r="AF69" s="38"/>
      <c r="AG69" s="38">
        <v>804131</v>
      </c>
      <c r="AH69" s="38"/>
      <c r="AI69" s="34">
        <v>599428</v>
      </c>
      <c r="AJ69" s="34"/>
      <c r="AK69" s="34">
        <v>72606</v>
      </c>
      <c r="AL69" s="34"/>
      <c r="AM69" s="34">
        <v>0</v>
      </c>
      <c r="AN69" s="34"/>
      <c r="AO69" s="38">
        <f>+AE69+AG69+AI69-AK69+AM69</f>
        <v>3243112</v>
      </c>
      <c r="AP69" s="38"/>
      <c r="AQ69" s="70" t="s">
        <v>163</v>
      </c>
      <c r="AR69" s="34"/>
      <c r="AS69" s="70" t="s">
        <v>163</v>
      </c>
      <c r="AT69" s="34"/>
      <c r="AU69" s="34">
        <f>+C69-I69</f>
        <v>53294613</v>
      </c>
      <c r="AV69" s="34"/>
      <c r="AW69" s="13" t="s">
        <v>60</v>
      </c>
      <c r="AX69" s="34"/>
      <c r="AY69" s="34">
        <v>2784427</v>
      </c>
      <c r="AZ69" s="34"/>
      <c r="BA69" s="34">
        <f>42460000+2160000</f>
        <v>44620000</v>
      </c>
      <c r="BB69" s="34"/>
      <c r="BC69" s="34">
        <f>550283</f>
        <v>550283</v>
      </c>
      <c r="BD69" s="34"/>
      <c r="BE69" s="34">
        <f>7424+288563+2836+72550</f>
        <v>371373</v>
      </c>
      <c r="BF69" s="34"/>
      <c r="BG69" s="34"/>
      <c r="BH69" s="34"/>
      <c r="BI69" s="34">
        <f t="shared" si="0"/>
        <v>48326083</v>
      </c>
    </row>
    <row r="70" spans="1:62" ht="12" hidden="1">
      <c r="A70" s="13" t="s">
        <v>61</v>
      </c>
      <c r="C70" s="37">
        <f>G70-E70</f>
        <v>0</v>
      </c>
      <c r="D70" s="37"/>
      <c r="E70" s="37"/>
      <c r="F70" s="37"/>
      <c r="G70" s="37"/>
      <c r="H70" s="37"/>
      <c r="I70" s="37">
        <f>M70-K70</f>
        <v>0</v>
      </c>
      <c r="J70" s="37"/>
      <c r="K70" s="37">
        <f>SUM(BI70)</f>
        <v>0</v>
      </c>
      <c r="L70" s="37"/>
      <c r="M70" s="37"/>
      <c r="N70" s="37"/>
      <c r="O70" s="37"/>
      <c r="P70" s="37"/>
      <c r="Q70" s="37"/>
      <c r="R70" s="37"/>
      <c r="S70" s="37"/>
      <c r="T70" s="37"/>
      <c r="U70" s="37">
        <f>SUM(O70:S70)</f>
        <v>0</v>
      </c>
      <c r="V70" s="37"/>
      <c r="W70" s="13" t="s">
        <v>61</v>
      </c>
      <c r="X70" s="37"/>
      <c r="Y70" s="34"/>
      <c r="Z70" s="34"/>
      <c r="AA70" s="34"/>
      <c r="AB70" s="34"/>
      <c r="AC70" s="34"/>
      <c r="AD70" s="34"/>
      <c r="AE70" s="38">
        <f>+Y70-AA70-AC70</f>
        <v>0</v>
      </c>
      <c r="AF70" s="38"/>
      <c r="AG70" s="37">
        <v>0</v>
      </c>
      <c r="AH70" s="37"/>
      <c r="AI70" s="37">
        <v>0</v>
      </c>
      <c r="AJ70" s="37"/>
      <c r="AK70" s="37">
        <v>0</v>
      </c>
      <c r="AL70" s="37"/>
      <c r="AM70" s="37">
        <v>0</v>
      </c>
      <c r="AN70" s="37"/>
      <c r="AO70" s="37">
        <v>0</v>
      </c>
      <c r="AP70" s="37"/>
      <c r="AQ70" s="37">
        <v>0</v>
      </c>
      <c r="AR70" s="37"/>
      <c r="AS70" s="70" t="s">
        <v>163</v>
      </c>
      <c r="AT70" s="37"/>
      <c r="AU70" s="37">
        <v>0</v>
      </c>
      <c r="AV70" s="37"/>
      <c r="AW70" s="13" t="s">
        <v>61</v>
      </c>
      <c r="AX70" s="37"/>
      <c r="AY70" s="37">
        <v>0</v>
      </c>
      <c r="AZ70" s="37"/>
      <c r="BA70" s="37">
        <v>0</v>
      </c>
      <c r="BB70" s="37"/>
      <c r="BC70" s="37">
        <v>0</v>
      </c>
      <c r="BD70" s="37"/>
      <c r="BE70" s="37">
        <v>0</v>
      </c>
      <c r="BF70" s="37"/>
      <c r="BG70" s="37"/>
      <c r="BH70" s="37"/>
      <c r="BI70" s="34">
        <f t="shared" si="0"/>
        <v>0</v>
      </c>
      <c r="BJ70" s="8" t="s">
        <v>174</v>
      </c>
    </row>
    <row r="71" spans="1:61" ht="12" hidden="1">
      <c r="A71" s="13" t="s">
        <v>100</v>
      </c>
      <c r="C71" s="37">
        <v>0</v>
      </c>
      <c r="D71" s="37"/>
      <c r="E71" s="37">
        <v>0</v>
      </c>
      <c r="F71" s="37"/>
      <c r="G71" s="37">
        <v>0</v>
      </c>
      <c r="H71" s="37"/>
      <c r="I71" s="37">
        <v>0</v>
      </c>
      <c r="J71" s="37"/>
      <c r="K71" s="37">
        <v>0</v>
      </c>
      <c r="L71" s="37"/>
      <c r="M71" s="37">
        <v>0</v>
      </c>
      <c r="N71" s="37"/>
      <c r="O71" s="37">
        <v>0</v>
      </c>
      <c r="P71" s="37"/>
      <c r="Q71" s="37">
        <v>0</v>
      </c>
      <c r="R71" s="37"/>
      <c r="S71" s="37">
        <v>0</v>
      </c>
      <c r="T71" s="37"/>
      <c r="U71" s="37">
        <v>0</v>
      </c>
      <c r="V71" s="37"/>
      <c r="W71" s="13" t="s">
        <v>100</v>
      </c>
      <c r="X71" s="37"/>
      <c r="Y71" s="37">
        <v>0</v>
      </c>
      <c r="Z71" s="37"/>
      <c r="AA71" s="37">
        <v>0</v>
      </c>
      <c r="AB71" s="37"/>
      <c r="AC71" s="37">
        <v>0</v>
      </c>
      <c r="AD71" s="37"/>
      <c r="AE71" s="37">
        <v>0</v>
      </c>
      <c r="AF71" s="37"/>
      <c r="AG71" s="37">
        <v>0</v>
      </c>
      <c r="AH71" s="37"/>
      <c r="AI71" s="37">
        <v>0</v>
      </c>
      <c r="AJ71" s="37"/>
      <c r="AK71" s="37">
        <v>0</v>
      </c>
      <c r="AL71" s="37"/>
      <c r="AM71" s="37">
        <v>0</v>
      </c>
      <c r="AN71" s="37"/>
      <c r="AO71" s="37">
        <v>0</v>
      </c>
      <c r="AP71" s="37"/>
      <c r="AQ71" s="37">
        <v>0</v>
      </c>
      <c r="AR71" s="37"/>
      <c r="AS71" s="70" t="s">
        <v>163</v>
      </c>
      <c r="AT71" s="37"/>
      <c r="AU71" s="37">
        <v>0</v>
      </c>
      <c r="AV71" s="37"/>
      <c r="AW71" s="13" t="s">
        <v>100</v>
      </c>
      <c r="AX71" s="37"/>
      <c r="AY71" s="37">
        <v>0</v>
      </c>
      <c r="AZ71" s="37"/>
      <c r="BA71" s="37">
        <v>0</v>
      </c>
      <c r="BB71" s="37"/>
      <c r="BC71" s="37">
        <v>0</v>
      </c>
      <c r="BD71" s="37"/>
      <c r="BE71" s="37">
        <v>0</v>
      </c>
      <c r="BF71" s="37"/>
      <c r="BG71" s="37"/>
      <c r="BH71" s="37"/>
      <c r="BI71" s="34">
        <f t="shared" si="0"/>
        <v>0</v>
      </c>
    </row>
    <row r="72" spans="1:61" ht="12">
      <c r="A72" s="13" t="s">
        <v>63</v>
      </c>
      <c r="C72" s="37">
        <f>G72-E72</f>
        <v>106346</v>
      </c>
      <c r="D72" s="37"/>
      <c r="E72" s="37">
        <f>2690257-106346</f>
        <v>2583911</v>
      </c>
      <c r="F72" s="37"/>
      <c r="G72" s="37">
        <v>2690257</v>
      </c>
      <c r="H72" s="37"/>
      <c r="I72" s="37">
        <f>M72-K72</f>
        <v>1210</v>
      </c>
      <c r="J72" s="37"/>
      <c r="K72" s="37">
        <f>SUM(BI72)</f>
        <v>1636947</v>
      </c>
      <c r="L72" s="37"/>
      <c r="M72" s="37">
        <v>1638157</v>
      </c>
      <c r="N72" s="37"/>
      <c r="O72" s="37">
        <v>0</v>
      </c>
      <c r="P72" s="37"/>
      <c r="Q72" s="37">
        <v>0</v>
      </c>
      <c r="R72" s="37"/>
      <c r="S72" s="37">
        <v>1052100</v>
      </c>
      <c r="T72" s="37"/>
      <c r="U72" s="37">
        <f>SUM(O72:S72)</f>
        <v>1052100</v>
      </c>
      <c r="V72" s="37"/>
      <c r="W72" s="13" t="s">
        <v>63</v>
      </c>
      <c r="X72" s="37"/>
      <c r="Y72" s="34">
        <v>13583</v>
      </c>
      <c r="Z72" s="34"/>
      <c r="AA72" s="34">
        <v>1210</v>
      </c>
      <c r="AB72" s="34"/>
      <c r="AC72" s="34">
        <v>0</v>
      </c>
      <c r="AD72" s="34"/>
      <c r="AE72" s="38">
        <f>+Y72-AA72-AC72</f>
        <v>12373</v>
      </c>
      <c r="AF72" s="38"/>
      <c r="AG72" s="38">
        <v>27833</v>
      </c>
      <c r="AH72" s="38"/>
      <c r="AI72" s="34">
        <v>0</v>
      </c>
      <c r="AJ72" s="34"/>
      <c r="AK72" s="34">
        <v>0</v>
      </c>
      <c r="AL72" s="34"/>
      <c r="AM72" s="34">
        <v>222966</v>
      </c>
      <c r="AN72" s="34"/>
      <c r="AO72" s="38">
        <f>+AE72+AG72+AI72-AK72+AM72</f>
        <v>263172</v>
      </c>
      <c r="AP72" s="38"/>
      <c r="AQ72" s="34">
        <v>1893908</v>
      </c>
      <c r="AR72" s="34"/>
      <c r="AS72" s="70" t="s">
        <v>163</v>
      </c>
      <c r="AT72" s="34"/>
      <c r="AU72" s="34">
        <f>+C72-I72</f>
        <v>105136</v>
      </c>
      <c r="AV72" s="34"/>
      <c r="AW72" s="13" t="s">
        <v>63</v>
      </c>
      <c r="AX72" s="34"/>
      <c r="AY72" s="34">
        <v>0</v>
      </c>
      <c r="AZ72" s="34"/>
      <c r="BA72" s="34">
        <v>0</v>
      </c>
      <c r="BB72" s="34"/>
      <c r="BC72" s="34">
        <f>28+1111144+525775</f>
        <v>1636947</v>
      </c>
      <c r="BD72" s="34"/>
      <c r="BE72" s="34">
        <v>0</v>
      </c>
      <c r="BF72" s="34"/>
      <c r="BG72" s="34"/>
      <c r="BH72" s="34"/>
      <c r="BI72" s="34">
        <f t="shared" si="0"/>
        <v>1636947</v>
      </c>
    </row>
    <row r="73" spans="1:61" ht="12" hidden="1">
      <c r="A73" s="13" t="s">
        <v>64</v>
      </c>
      <c r="C73" s="37">
        <v>0</v>
      </c>
      <c r="D73" s="37"/>
      <c r="E73" s="37">
        <v>0</v>
      </c>
      <c r="F73" s="37"/>
      <c r="G73" s="37">
        <v>0</v>
      </c>
      <c r="H73" s="37"/>
      <c r="I73" s="37">
        <v>0</v>
      </c>
      <c r="J73" s="37"/>
      <c r="K73" s="37">
        <v>0</v>
      </c>
      <c r="L73" s="37"/>
      <c r="M73" s="37">
        <v>0</v>
      </c>
      <c r="N73" s="37"/>
      <c r="O73" s="37">
        <v>0</v>
      </c>
      <c r="P73" s="37"/>
      <c r="Q73" s="37">
        <v>0</v>
      </c>
      <c r="R73" s="37"/>
      <c r="S73" s="37">
        <v>0</v>
      </c>
      <c r="T73" s="37"/>
      <c r="U73" s="37">
        <v>0</v>
      </c>
      <c r="V73" s="37"/>
      <c r="W73" s="13" t="s">
        <v>64</v>
      </c>
      <c r="X73" s="37"/>
      <c r="Y73" s="37">
        <v>0</v>
      </c>
      <c r="Z73" s="37"/>
      <c r="AA73" s="37">
        <v>0</v>
      </c>
      <c r="AB73" s="37"/>
      <c r="AC73" s="37">
        <v>0</v>
      </c>
      <c r="AD73" s="37"/>
      <c r="AE73" s="37">
        <v>0</v>
      </c>
      <c r="AF73" s="37"/>
      <c r="AG73" s="37">
        <v>0</v>
      </c>
      <c r="AH73" s="37"/>
      <c r="AI73" s="37">
        <v>0</v>
      </c>
      <c r="AJ73" s="37"/>
      <c r="AK73" s="37">
        <v>0</v>
      </c>
      <c r="AL73" s="37"/>
      <c r="AM73" s="37">
        <v>0</v>
      </c>
      <c r="AN73" s="37"/>
      <c r="AO73" s="37">
        <v>0</v>
      </c>
      <c r="AP73" s="37"/>
      <c r="AQ73" s="37">
        <v>0</v>
      </c>
      <c r="AR73" s="37"/>
      <c r="AS73" s="37">
        <v>0</v>
      </c>
      <c r="AT73" s="37"/>
      <c r="AU73" s="37">
        <v>0</v>
      </c>
      <c r="AV73" s="37"/>
      <c r="AW73" s="13" t="s">
        <v>64</v>
      </c>
      <c r="AX73" s="37"/>
      <c r="AY73" s="37">
        <v>0</v>
      </c>
      <c r="AZ73" s="37"/>
      <c r="BA73" s="37">
        <v>0</v>
      </c>
      <c r="BB73" s="37"/>
      <c r="BC73" s="37">
        <v>0</v>
      </c>
      <c r="BD73" s="37"/>
      <c r="BE73" s="37">
        <v>0</v>
      </c>
      <c r="BF73" s="37"/>
      <c r="BG73" s="37"/>
      <c r="BH73" s="37"/>
      <c r="BI73" s="34">
        <f t="shared" si="0"/>
        <v>0</v>
      </c>
    </row>
    <row r="74" spans="1:61" ht="12">
      <c r="A74" s="13" t="s">
        <v>65</v>
      </c>
      <c r="C74" s="37">
        <f>G74-E74</f>
        <v>6379749</v>
      </c>
      <c r="D74" s="37"/>
      <c r="E74" s="37">
        <v>66148136</v>
      </c>
      <c r="F74" s="37"/>
      <c r="G74" s="37">
        <v>72527885</v>
      </c>
      <c r="H74" s="37"/>
      <c r="I74" s="37">
        <f>M74-K74</f>
        <v>2598641</v>
      </c>
      <c r="J74" s="37"/>
      <c r="K74" s="37">
        <f>SUM(BI74)</f>
        <v>32447660</v>
      </c>
      <c r="L74" s="37"/>
      <c r="M74" s="37">
        <v>35046301</v>
      </c>
      <c r="N74" s="37"/>
      <c r="O74" s="37">
        <v>0</v>
      </c>
      <c r="P74" s="37"/>
      <c r="Q74" s="37">
        <v>0</v>
      </c>
      <c r="R74" s="37"/>
      <c r="S74" s="37">
        <f>-288845+37770429</f>
        <v>37481584</v>
      </c>
      <c r="T74" s="37"/>
      <c r="U74" s="37">
        <f>SUM(O74:S74)</f>
        <v>37481584</v>
      </c>
      <c r="V74" s="37"/>
      <c r="W74" s="13" t="s">
        <v>65</v>
      </c>
      <c r="X74" s="37"/>
      <c r="Y74" s="34">
        <v>4229987</v>
      </c>
      <c r="Z74" s="34"/>
      <c r="AA74" s="34">
        <v>1474067</v>
      </c>
      <c r="AB74" s="34"/>
      <c r="AC74" s="34">
        <f>13065+1571424</f>
        <v>1584489</v>
      </c>
      <c r="AD74" s="34"/>
      <c r="AE74" s="38">
        <f>+Y74-AA74-AC74</f>
        <v>1171431</v>
      </c>
      <c r="AF74" s="38"/>
      <c r="AG74" s="38">
        <f>99905+90974</f>
        <v>190879</v>
      </c>
      <c r="AH74" s="38"/>
      <c r="AI74" s="34">
        <f>37404+95880</f>
        <v>133284</v>
      </c>
      <c r="AJ74" s="34"/>
      <c r="AK74" s="34">
        <v>186627</v>
      </c>
      <c r="AL74" s="34"/>
      <c r="AM74" s="34">
        <v>0</v>
      </c>
      <c r="AN74" s="34"/>
      <c r="AO74" s="38">
        <f>+AE74+AG74+AI74-AK74+AM74</f>
        <v>1308967</v>
      </c>
      <c r="AP74" s="38"/>
      <c r="AQ74" s="34">
        <f>612189</f>
        <v>612189</v>
      </c>
      <c r="AR74" s="34"/>
      <c r="AS74" s="34">
        <v>-81926</v>
      </c>
      <c r="AT74" s="34"/>
      <c r="AU74" s="34">
        <f>+C74-I74</f>
        <v>3781108</v>
      </c>
      <c r="AV74" s="34"/>
      <c r="AW74" s="13" t="s">
        <v>65</v>
      </c>
      <c r="AX74" s="34"/>
      <c r="AY74" s="34">
        <f>1899900+243000</f>
        <v>2142900</v>
      </c>
      <c r="AZ74" s="34"/>
      <c r="BA74" s="34">
        <v>0</v>
      </c>
      <c r="BB74" s="34"/>
      <c r="BC74" s="34">
        <f>104525+1101001+26148356+2872154</f>
        <v>30226036</v>
      </c>
      <c r="BD74" s="34"/>
      <c r="BE74" s="34">
        <v>78724</v>
      </c>
      <c r="BF74" s="34"/>
      <c r="BG74" s="34"/>
      <c r="BH74" s="34"/>
      <c r="BI74" s="34">
        <f t="shared" si="0"/>
        <v>32447660</v>
      </c>
    </row>
    <row r="75" spans="1:61" ht="12" hidden="1">
      <c r="A75" s="13" t="s">
        <v>134</v>
      </c>
      <c r="C75" s="37">
        <v>0</v>
      </c>
      <c r="D75" s="37"/>
      <c r="E75" s="37">
        <v>0</v>
      </c>
      <c r="F75" s="37"/>
      <c r="G75" s="37">
        <v>0</v>
      </c>
      <c r="H75" s="37"/>
      <c r="I75" s="37">
        <v>0</v>
      </c>
      <c r="J75" s="37"/>
      <c r="K75" s="37">
        <v>0</v>
      </c>
      <c r="L75" s="37"/>
      <c r="M75" s="37">
        <v>0</v>
      </c>
      <c r="N75" s="37"/>
      <c r="O75" s="37">
        <v>0</v>
      </c>
      <c r="P75" s="37"/>
      <c r="Q75" s="37">
        <v>0</v>
      </c>
      <c r="R75" s="37"/>
      <c r="S75" s="37">
        <v>0</v>
      </c>
      <c r="T75" s="37"/>
      <c r="U75" s="37">
        <v>0</v>
      </c>
      <c r="V75" s="37"/>
      <c r="W75" s="13" t="s">
        <v>134</v>
      </c>
      <c r="X75" s="37"/>
      <c r="Y75" s="37">
        <v>0</v>
      </c>
      <c r="Z75" s="37"/>
      <c r="AA75" s="37">
        <v>0</v>
      </c>
      <c r="AB75" s="37"/>
      <c r="AC75" s="37">
        <v>0</v>
      </c>
      <c r="AD75" s="37"/>
      <c r="AE75" s="37">
        <v>0</v>
      </c>
      <c r="AF75" s="37"/>
      <c r="AG75" s="37">
        <v>0</v>
      </c>
      <c r="AH75" s="37"/>
      <c r="AI75" s="37">
        <v>0</v>
      </c>
      <c r="AJ75" s="37"/>
      <c r="AK75" s="37">
        <v>0</v>
      </c>
      <c r="AL75" s="37"/>
      <c r="AM75" s="37">
        <v>0</v>
      </c>
      <c r="AN75" s="37"/>
      <c r="AO75" s="37">
        <v>0</v>
      </c>
      <c r="AP75" s="37"/>
      <c r="AQ75" s="37">
        <v>0</v>
      </c>
      <c r="AR75" s="37"/>
      <c r="AS75" s="37">
        <v>0</v>
      </c>
      <c r="AT75" s="37"/>
      <c r="AU75" s="37">
        <v>0</v>
      </c>
      <c r="AV75" s="37"/>
      <c r="AW75" s="13" t="s">
        <v>134</v>
      </c>
      <c r="AX75" s="37"/>
      <c r="AY75" s="37">
        <v>0</v>
      </c>
      <c r="AZ75" s="37"/>
      <c r="BA75" s="37">
        <v>0</v>
      </c>
      <c r="BB75" s="37"/>
      <c r="BC75" s="37">
        <v>0</v>
      </c>
      <c r="BD75" s="37"/>
      <c r="BE75" s="37">
        <v>0</v>
      </c>
      <c r="BF75" s="37"/>
      <c r="BG75" s="37"/>
      <c r="BH75" s="37"/>
      <c r="BI75" s="34">
        <f t="shared" si="0"/>
        <v>0</v>
      </c>
    </row>
    <row r="76" spans="1:65" ht="12" hidden="1">
      <c r="A76" s="13" t="s">
        <v>66</v>
      </c>
      <c r="C76" s="37">
        <v>0</v>
      </c>
      <c r="D76" s="37"/>
      <c r="E76" s="37">
        <v>0</v>
      </c>
      <c r="F76" s="37"/>
      <c r="G76" s="37">
        <v>0</v>
      </c>
      <c r="H76" s="37"/>
      <c r="I76" s="37">
        <v>0</v>
      </c>
      <c r="J76" s="37"/>
      <c r="K76" s="37">
        <v>0</v>
      </c>
      <c r="L76" s="37"/>
      <c r="M76" s="37">
        <v>0</v>
      </c>
      <c r="N76" s="37"/>
      <c r="O76" s="37">
        <v>0</v>
      </c>
      <c r="P76" s="37"/>
      <c r="Q76" s="37">
        <v>0</v>
      </c>
      <c r="R76" s="37"/>
      <c r="S76" s="37">
        <v>0</v>
      </c>
      <c r="T76" s="37"/>
      <c r="U76" s="37">
        <v>0</v>
      </c>
      <c r="V76" s="37"/>
      <c r="W76" s="13" t="s">
        <v>66</v>
      </c>
      <c r="X76" s="37"/>
      <c r="Y76" s="37">
        <v>0</v>
      </c>
      <c r="Z76" s="37"/>
      <c r="AA76" s="37">
        <v>0</v>
      </c>
      <c r="AB76" s="37"/>
      <c r="AC76" s="37">
        <v>0</v>
      </c>
      <c r="AD76" s="37"/>
      <c r="AE76" s="37">
        <v>0</v>
      </c>
      <c r="AF76" s="37"/>
      <c r="AG76" s="37">
        <v>0</v>
      </c>
      <c r="AH76" s="37"/>
      <c r="AI76" s="37">
        <v>0</v>
      </c>
      <c r="AJ76" s="37"/>
      <c r="AK76" s="37">
        <v>0</v>
      </c>
      <c r="AL76" s="37"/>
      <c r="AM76" s="37">
        <v>0</v>
      </c>
      <c r="AN76" s="37"/>
      <c r="AO76" s="37">
        <v>0</v>
      </c>
      <c r="AP76" s="37"/>
      <c r="AQ76" s="37">
        <v>0</v>
      </c>
      <c r="AR76" s="37"/>
      <c r="AS76" s="37">
        <v>0</v>
      </c>
      <c r="AT76" s="37"/>
      <c r="AU76" s="37">
        <v>0</v>
      </c>
      <c r="AV76" s="37"/>
      <c r="AW76" s="13" t="s">
        <v>66</v>
      </c>
      <c r="AX76" s="37"/>
      <c r="AY76" s="37">
        <v>0</v>
      </c>
      <c r="AZ76" s="37"/>
      <c r="BA76" s="37">
        <v>0</v>
      </c>
      <c r="BB76" s="37"/>
      <c r="BC76" s="37">
        <v>0</v>
      </c>
      <c r="BD76" s="37"/>
      <c r="BE76" s="37">
        <v>0</v>
      </c>
      <c r="BF76" s="37"/>
      <c r="BG76" s="37"/>
      <c r="BH76" s="37"/>
      <c r="BI76" s="34">
        <f t="shared" si="0"/>
        <v>0</v>
      </c>
      <c r="BK76" s="28"/>
      <c r="BL76" s="28"/>
      <c r="BM76" s="28"/>
    </row>
    <row r="77" spans="1:65" ht="12" hidden="1">
      <c r="A77" s="13" t="s">
        <v>67</v>
      </c>
      <c r="C77" s="37">
        <v>0</v>
      </c>
      <c r="D77" s="37"/>
      <c r="E77" s="37">
        <v>0</v>
      </c>
      <c r="F77" s="37"/>
      <c r="G77" s="37">
        <v>0</v>
      </c>
      <c r="H77" s="37"/>
      <c r="I77" s="37">
        <v>0</v>
      </c>
      <c r="J77" s="37"/>
      <c r="K77" s="37">
        <v>0</v>
      </c>
      <c r="L77" s="37"/>
      <c r="M77" s="37">
        <v>0</v>
      </c>
      <c r="N77" s="37"/>
      <c r="O77" s="37">
        <v>0</v>
      </c>
      <c r="P77" s="37"/>
      <c r="Q77" s="37">
        <v>0</v>
      </c>
      <c r="R77" s="37"/>
      <c r="S77" s="37">
        <v>0</v>
      </c>
      <c r="T77" s="37"/>
      <c r="U77" s="37">
        <v>0</v>
      </c>
      <c r="V77" s="37"/>
      <c r="W77" s="13" t="s">
        <v>67</v>
      </c>
      <c r="X77" s="37"/>
      <c r="Y77" s="37">
        <v>0</v>
      </c>
      <c r="Z77" s="37"/>
      <c r="AA77" s="37">
        <v>0</v>
      </c>
      <c r="AB77" s="37"/>
      <c r="AC77" s="37">
        <v>0</v>
      </c>
      <c r="AD77" s="37"/>
      <c r="AE77" s="37">
        <v>0</v>
      </c>
      <c r="AF77" s="37"/>
      <c r="AG77" s="37">
        <v>0</v>
      </c>
      <c r="AH77" s="37"/>
      <c r="AI77" s="37">
        <v>0</v>
      </c>
      <c r="AJ77" s="37"/>
      <c r="AK77" s="37">
        <v>0</v>
      </c>
      <c r="AL77" s="37"/>
      <c r="AM77" s="37">
        <v>0</v>
      </c>
      <c r="AN77" s="37"/>
      <c r="AO77" s="37">
        <v>0</v>
      </c>
      <c r="AP77" s="37"/>
      <c r="AQ77" s="37">
        <v>0</v>
      </c>
      <c r="AR77" s="37"/>
      <c r="AS77" s="37">
        <v>0</v>
      </c>
      <c r="AT77" s="37"/>
      <c r="AU77" s="37">
        <v>0</v>
      </c>
      <c r="AV77" s="37"/>
      <c r="AW77" s="13" t="s">
        <v>67</v>
      </c>
      <c r="AX77" s="37"/>
      <c r="AY77" s="37">
        <v>0</v>
      </c>
      <c r="AZ77" s="37"/>
      <c r="BA77" s="37">
        <v>0</v>
      </c>
      <c r="BB77" s="37"/>
      <c r="BC77" s="37">
        <v>0</v>
      </c>
      <c r="BD77" s="37"/>
      <c r="BE77" s="37">
        <v>0</v>
      </c>
      <c r="BF77" s="37"/>
      <c r="BG77" s="37"/>
      <c r="BH77" s="37"/>
      <c r="BI77" s="34">
        <f t="shared" si="0"/>
        <v>0</v>
      </c>
      <c r="BK77" s="28"/>
      <c r="BL77" s="28"/>
      <c r="BM77" s="28"/>
    </row>
    <row r="78" spans="1:61" ht="12">
      <c r="A78" s="13" t="s">
        <v>68</v>
      </c>
      <c r="C78" s="37">
        <f>G78-E78</f>
        <v>117187</v>
      </c>
      <c r="D78" s="37"/>
      <c r="E78" s="37">
        <v>287989</v>
      </c>
      <c r="F78" s="37"/>
      <c r="G78" s="37">
        <v>405176</v>
      </c>
      <c r="H78" s="37"/>
      <c r="I78" s="37">
        <f>M78-K78</f>
        <v>117187</v>
      </c>
      <c r="J78" s="37"/>
      <c r="K78" s="37">
        <f>SUM(BI78)</f>
        <v>0</v>
      </c>
      <c r="L78" s="37"/>
      <c r="M78" s="37">
        <v>117187</v>
      </c>
      <c r="N78" s="37"/>
      <c r="O78" s="37">
        <v>0</v>
      </c>
      <c r="P78" s="37"/>
      <c r="Q78" s="37">
        <v>0</v>
      </c>
      <c r="R78" s="37"/>
      <c r="S78" s="37">
        <v>287989</v>
      </c>
      <c r="T78" s="37"/>
      <c r="U78" s="37">
        <f>SUM(O78:S78)</f>
        <v>287989</v>
      </c>
      <c r="V78" s="37"/>
      <c r="W78" s="13" t="s">
        <v>68</v>
      </c>
      <c r="X78" s="37"/>
      <c r="Y78" s="34">
        <v>9375</v>
      </c>
      <c r="Z78" s="34"/>
      <c r="AA78" s="34">
        <v>0</v>
      </c>
      <c r="AB78" s="34"/>
      <c r="AC78" s="34">
        <v>17352</v>
      </c>
      <c r="AD78" s="34"/>
      <c r="AE78" s="38">
        <f>+Y78-AA78-AC78</f>
        <v>-7977</v>
      </c>
      <c r="AF78" s="38"/>
      <c r="AG78" s="38">
        <v>0</v>
      </c>
      <c r="AH78" s="38"/>
      <c r="AI78" s="34">
        <v>0</v>
      </c>
      <c r="AJ78" s="34"/>
      <c r="AK78" s="34">
        <v>0</v>
      </c>
      <c r="AL78" s="34"/>
      <c r="AM78" s="34">
        <v>0</v>
      </c>
      <c r="AN78" s="34"/>
      <c r="AO78" s="38">
        <f>+AE78+AG78+AI78-AK78+AM78</f>
        <v>-7977</v>
      </c>
      <c r="AP78" s="38"/>
      <c r="AQ78" s="70" t="s">
        <v>163</v>
      </c>
      <c r="AR78" s="34"/>
      <c r="AS78" s="70" t="s">
        <v>163</v>
      </c>
      <c r="AT78" s="34"/>
      <c r="AU78" s="34">
        <f>+C78-I78</f>
        <v>0</v>
      </c>
      <c r="AV78" s="34"/>
      <c r="AW78" s="13" t="s">
        <v>68</v>
      </c>
      <c r="AX78" s="34"/>
      <c r="AY78" s="34">
        <v>0</v>
      </c>
      <c r="AZ78" s="34"/>
      <c r="BA78" s="34">
        <v>0</v>
      </c>
      <c r="BB78" s="34"/>
      <c r="BC78" s="34">
        <v>0</v>
      </c>
      <c r="BD78" s="34"/>
      <c r="BE78" s="34">
        <v>0</v>
      </c>
      <c r="BF78" s="34"/>
      <c r="BG78" s="34"/>
      <c r="BH78" s="34"/>
      <c r="BI78" s="34">
        <f t="shared" si="0"/>
        <v>0</v>
      </c>
    </row>
    <row r="79" spans="1:61" ht="12">
      <c r="A79" s="13" t="s">
        <v>69</v>
      </c>
      <c r="C79" s="37">
        <f>G79-E79</f>
        <v>2697679</v>
      </c>
      <c r="D79" s="37"/>
      <c r="E79" s="37">
        <f>13056655</f>
        <v>13056655</v>
      </c>
      <c r="F79" s="37"/>
      <c r="G79" s="37">
        <v>15754334</v>
      </c>
      <c r="H79" s="37"/>
      <c r="I79" s="37">
        <f>M79-K79</f>
        <v>2363019</v>
      </c>
      <c r="J79" s="37"/>
      <c r="K79" s="37">
        <f>SUM(BI79)</f>
        <v>7072061</v>
      </c>
      <c r="L79" s="37"/>
      <c r="M79" s="37">
        <v>9435080</v>
      </c>
      <c r="N79" s="37"/>
      <c r="O79" s="37">
        <v>4160030</v>
      </c>
      <c r="P79" s="37"/>
      <c r="Q79" s="37">
        <v>0</v>
      </c>
      <c r="R79" s="37"/>
      <c r="S79" s="37">
        <v>2159224</v>
      </c>
      <c r="T79" s="37"/>
      <c r="U79" s="37">
        <f>SUM(O79:S79)</f>
        <v>6319254</v>
      </c>
      <c r="V79" s="37"/>
      <c r="W79" s="13" t="s">
        <v>69</v>
      </c>
      <c r="X79" s="37"/>
      <c r="Y79" s="34">
        <v>2552695</v>
      </c>
      <c r="Z79" s="34"/>
      <c r="AA79" s="34">
        <f>2089557-437886</f>
        <v>1651671</v>
      </c>
      <c r="AB79" s="34"/>
      <c r="AC79" s="34">
        <v>437886</v>
      </c>
      <c r="AD79" s="34"/>
      <c r="AE79" s="38">
        <f>+Y79-AA79-AC79</f>
        <v>463138</v>
      </c>
      <c r="AF79" s="38"/>
      <c r="AG79" s="38">
        <v>-172058</v>
      </c>
      <c r="AH79" s="38"/>
      <c r="AI79" s="34">
        <v>0</v>
      </c>
      <c r="AJ79" s="34"/>
      <c r="AK79" s="34">
        <v>0</v>
      </c>
      <c r="AL79" s="34"/>
      <c r="AM79" s="34">
        <v>0</v>
      </c>
      <c r="AN79" s="34"/>
      <c r="AO79" s="38">
        <f>+AE79+AG79+AI79-AK79+AM79</f>
        <v>291080</v>
      </c>
      <c r="AP79" s="38"/>
      <c r="AQ79" s="70" t="s">
        <v>163</v>
      </c>
      <c r="AR79" s="34"/>
      <c r="AS79" s="70" t="s">
        <v>163</v>
      </c>
      <c r="AT79" s="34"/>
      <c r="AU79" s="34">
        <f>+C79-I79</f>
        <v>334660</v>
      </c>
      <c r="AV79" s="34"/>
      <c r="AW79" s="13" t="s">
        <v>69</v>
      </c>
      <c r="AX79" s="34"/>
      <c r="AY79" s="34">
        <v>0</v>
      </c>
      <c r="AZ79" s="34"/>
      <c r="BA79" s="34">
        <v>0</v>
      </c>
      <c r="BB79" s="34"/>
      <c r="BC79" s="34">
        <f>239004+45647</f>
        <v>284651</v>
      </c>
      <c r="BD79" s="34"/>
      <c r="BE79" s="34">
        <f>219867+6567543</f>
        <v>6787410</v>
      </c>
      <c r="BF79" s="34"/>
      <c r="BG79" s="34"/>
      <c r="BH79" s="34"/>
      <c r="BI79" s="34">
        <f t="shared" si="0"/>
        <v>7072061</v>
      </c>
    </row>
    <row r="80" spans="1:62" ht="12" hidden="1">
      <c r="A80" s="13" t="s">
        <v>70</v>
      </c>
      <c r="C80" s="37">
        <v>0</v>
      </c>
      <c r="D80" s="37"/>
      <c r="E80" s="37">
        <v>0</v>
      </c>
      <c r="F80" s="37"/>
      <c r="G80" s="37">
        <v>0</v>
      </c>
      <c r="H80" s="37"/>
      <c r="I80" s="37">
        <v>0</v>
      </c>
      <c r="J80" s="37"/>
      <c r="K80" s="37">
        <v>0</v>
      </c>
      <c r="L80" s="37"/>
      <c r="M80" s="37">
        <v>0</v>
      </c>
      <c r="N80" s="37"/>
      <c r="O80" s="37">
        <v>0</v>
      </c>
      <c r="P80" s="37"/>
      <c r="Q80" s="37">
        <v>0</v>
      </c>
      <c r="R80" s="37"/>
      <c r="S80" s="37">
        <v>0</v>
      </c>
      <c r="T80" s="37"/>
      <c r="U80" s="37">
        <v>0</v>
      </c>
      <c r="V80" s="37"/>
      <c r="W80" s="13" t="s">
        <v>70</v>
      </c>
      <c r="X80" s="37"/>
      <c r="Y80" s="37">
        <v>0</v>
      </c>
      <c r="Z80" s="37"/>
      <c r="AA80" s="37">
        <v>0</v>
      </c>
      <c r="AB80" s="37"/>
      <c r="AC80" s="37">
        <v>0</v>
      </c>
      <c r="AD80" s="37"/>
      <c r="AE80" s="37">
        <v>0</v>
      </c>
      <c r="AF80" s="37"/>
      <c r="AG80" s="37">
        <v>0</v>
      </c>
      <c r="AH80" s="37"/>
      <c r="AI80" s="37">
        <v>0</v>
      </c>
      <c r="AJ80" s="37"/>
      <c r="AK80" s="37">
        <v>0</v>
      </c>
      <c r="AL80" s="37"/>
      <c r="AM80" s="37">
        <v>0</v>
      </c>
      <c r="AN80" s="37"/>
      <c r="AO80" s="37">
        <v>0</v>
      </c>
      <c r="AP80" s="37"/>
      <c r="AQ80" s="70" t="s">
        <v>163</v>
      </c>
      <c r="AR80" s="37"/>
      <c r="AS80" s="70" t="s">
        <v>163</v>
      </c>
      <c r="AT80" s="37"/>
      <c r="AU80" s="37">
        <v>0</v>
      </c>
      <c r="AV80" s="37"/>
      <c r="AW80" s="13" t="s">
        <v>70</v>
      </c>
      <c r="AX80" s="37"/>
      <c r="AY80" s="37">
        <v>0</v>
      </c>
      <c r="AZ80" s="37"/>
      <c r="BA80" s="37">
        <v>0</v>
      </c>
      <c r="BB80" s="37"/>
      <c r="BC80" s="37">
        <v>0</v>
      </c>
      <c r="BD80" s="37"/>
      <c r="BE80" s="37">
        <v>0</v>
      </c>
      <c r="BF80" s="37"/>
      <c r="BG80" s="37"/>
      <c r="BH80" s="37"/>
      <c r="BI80" s="34">
        <f t="shared" si="0"/>
        <v>0</v>
      </c>
      <c r="BJ80" s="8" t="s">
        <v>180</v>
      </c>
    </row>
    <row r="81" spans="1:61" ht="12" hidden="1">
      <c r="A81" s="13" t="s">
        <v>186</v>
      </c>
      <c r="C81" s="37">
        <v>0</v>
      </c>
      <c r="D81" s="37"/>
      <c r="E81" s="37">
        <v>0</v>
      </c>
      <c r="F81" s="37"/>
      <c r="G81" s="37">
        <v>0</v>
      </c>
      <c r="H81" s="37"/>
      <c r="I81" s="37">
        <v>0</v>
      </c>
      <c r="J81" s="37"/>
      <c r="K81" s="37">
        <v>0</v>
      </c>
      <c r="L81" s="37"/>
      <c r="M81" s="37">
        <v>0</v>
      </c>
      <c r="N81" s="37"/>
      <c r="O81" s="37">
        <v>0</v>
      </c>
      <c r="P81" s="37"/>
      <c r="Q81" s="37">
        <v>0</v>
      </c>
      <c r="R81" s="37"/>
      <c r="S81" s="37">
        <v>0</v>
      </c>
      <c r="T81" s="37"/>
      <c r="U81" s="37">
        <v>0</v>
      </c>
      <c r="V81" s="37"/>
      <c r="W81" s="13" t="s">
        <v>186</v>
      </c>
      <c r="X81" s="37"/>
      <c r="Y81" s="37">
        <v>0</v>
      </c>
      <c r="Z81" s="37"/>
      <c r="AA81" s="37">
        <v>0</v>
      </c>
      <c r="AB81" s="37"/>
      <c r="AC81" s="37">
        <v>0</v>
      </c>
      <c r="AD81" s="37"/>
      <c r="AE81" s="37">
        <v>0</v>
      </c>
      <c r="AF81" s="37"/>
      <c r="AG81" s="37">
        <v>0</v>
      </c>
      <c r="AH81" s="37"/>
      <c r="AI81" s="37">
        <v>0</v>
      </c>
      <c r="AJ81" s="37"/>
      <c r="AK81" s="37">
        <v>0</v>
      </c>
      <c r="AL81" s="37"/>
      <c r="AM81" s="37">
        <v>0</v>
      </c>
      <c r="AN81" s="37"/>
      <c r="AO81" s="37">
        <v>0</v>
      </c>
      <c r="AP81" s="37"/>
      <c r="AQ81" s="70" t="s">
        <v>163</v>
      </c>
      <c r="AR81" s="37"/>
      <c r="AS81" s="70" t="s">
        <v>163</v>
      </c>
      <c r="AT81" s="37"/>
      <c r="AU81" s="37">
        <v>0</v>
      </c>
      <c r="AV81" s="37"/>
      <c r="AW81" s="13" t="s">
        <v>186</v>
      </c>
      <c r="AX81" s="37"/>
      <c r="AY81" s="37">
        <v>0</v>
      </c>
      <c r="AZ81" s="37"/>
      <c r="BA81" s="37">
        <v>0</v>
      </c>
      <c r="BB81" s="37"/>
      <c r="BC81" s="37">
        <v>0</v>
      </c>
      <c r="BD81" s="37"/>
      <c r="BE81" s="37">
        <v>0</v>
      </c>
      <c r="BF81" s="37"/>
      <c r="BG81" s="37"/>
      <c r="BH81" s="37"/>
      <c r="BI81" s="34">
        <f t="shared" si="0"/>
        <v>0</v>
      </c>
    </row>
    <row r="82" spans="1:62" ht="12" hidden="1">
      <c r="A82" s="13" t="s">
        <v>138</v>
      </c>
      <c r="C82" s="37">
        <v>0</v>
      </c>
      <c r="D82" s="37"/>
      <c r="E82" s="37">
        <v>0</v>
      </c>
      <c r="F82" s="37"/>
      <c r="G82" s="37">
        <v>0</v>
      </c>
      <c r="H82" s="37"/>
      <c r="I82" s="37">
        <v>0</v>
      </c>
      <c r="J82" s="37"/>
      <c r="K82" s="37">
        <v>0</v>
      </c>
      <c r="L82" s="37"/>
      <c r="M82" s="37">
        <v>0</v>
      </c>
      <c r="N82" s="37"/>
      <c r="O82" s="37">
        <v>0</v>
      </c>
      <c r="P82" s="37"/>
      <c r="Q82" s="37">
        <v>0</v>
      </c>
      <c r="R82" s="37"/>
      <c r="S82" s="37">
        <v>0</v>
      </c>
      <c r="T82" s="37"/>
      <c r="U82" s="37">
        <v>0</v>
      </c>
      <c r="V82" s="37"/>
      <c r="W82" s="13" t="s">
        <v>138</v>
      </c>
      <c r="X82" s="37"/>
      <c r="Y82" s="37">
        <v>0</v>
      </c>
      <c r="Z82" s="37"/>
      <c r="AA82" s="37">
        <v>0</v>
      </c>
      <c r="AB82" s="37"/>
      <c r="AC82" s="37">
        <v>0</v>
      </c>
      <c r="AD82" s="37"/>
      <c r="AE82" s="37">
        <v>0</v>
      </c>
      <c r="AF82" s="37"/>
      <c r="AG82" s="37">
        <v>0</v>
      </c>
      <c r="AH82" s="37"/>
      <c r="AI82" s="37">
        <v>0</v>
      </c>
      <c r="AJ82" s="37"/>
      <c r="AK82" s="37">
        <v>0</v>
      </c>
      <c r="AL82" s="37"/>
      <c r="AM82" s="37">
        <v>0</v>
      </c>
      <c r="AN82" s="37"/>
      <c r="AO82" s="37">
        <v>0</v>
      </c>
      <c r="AP82" s="37"/>
      <c r="AQ82" s="70" t="s">
        <v>163</v>
      </c>
      <c r="AR82" s="37"/>
      <c r="AS82" s="70" t="s">
        <v>163</v>
      </c>
      <c r="AT82" s="37"/>
      <c r="AU82" s="37">
        <v>0</v>
      </c>
      <c r="AV82" s="37"/>
      <c r="AW82" s="13" t="s">
        <v>138</v>
      </c>
      <c r="AX82" s="37"/>
      <c r="AY82" s="37">
        <v>0</v>
      </c>
      <c r="AZ82" s="37"/>
      <c r="BA82" s="37">
        <v>0</v>
      </c>
      <c r="BB82" s="37"/>
      <c r="BC82" s="37">
        <v>0</v>
      </c>
      <c r="BD82" s="37"/>
      <c r="BE82" s="37">
        <v>0</v>
      </c>
      <c r="BF82" s="37"/>
      <c r="BG82" s="37"/>
      <c r="BH82" s="37"/>
      <c r="BI82" s="34">
        <f t="shared" si="0"/>
        <v>0</v>
      </c>
      <c r="BJ82" s="8" t="s">
        <v>180</v>
      </c>
    </row>
    <row r="83" spans="1:62" ht="12" hidden="1">
      <c r="A83" s="13" t="s">
        <v>71</v>
      </c>
      <c r="C83" s="37">
        <v>0</v>
      </c>
      <c r="D83" s="37"/>
      <c r="E83" s="37">
        <v>0</v>
      </c>
      <c r="F83" s="37"/>
      <c r="G83" s="37">
        <v>0</v>
      </c>
      <c r="H83" s="37"/>
      <c r="I83" s="37">
        <v>0</v>
      </c>
      <c r="J83" s="37"/>
      <c r="K83" s="37">
        <v>0</v>
      </c>
      <c r="L83" s="37"/>
      <c r="M83" s="37">
        <v>0</v>
      </c>
      <c r="N83" s="37"/>
      <c r="O83" s="37">
        <v>0</v>
      </c>
      <c r="P83" s="37"/>
      <c r="Q83" s="37">
        <v>0</v>
      </c>
      <c r="R83" s="37"/>
      <c r="S83" s="37">
        <v>0</v>
      </c>
      <c r="T83" s="37"/>
      <c r="U83" s="37">
        <v>0</v>
      </c>
      <c r="V83" s="37"/>
      <c r="W83" s="13" t="s">
        <v>71</v>
      </c>
      <c r="X83" s="37"/>
      <c r="Y83" s="37">
        <v>0</v>
      </c>
      <c r="Z83" s="37"/>
      <c r="AA83" s="37">
        <v>0</v>
      </c>
      <c r="AB83" s="37"/>
      <c r="AC83" s="37">
        <v>0</v>
      </c>
      <c r="AD83" s="37"/>
      <c r="AE83" s="37">
        <v>0</v>
      </c>
      <c r="AF83" s="37"/>
      <c r="AG83" s="37">
        <v>0</v>
      </c>
      <c r="AH83" s="37"/>
      <c r="AI83" s="37">
        <v>0</v>
      </c>
      <c r="AJ83" s="37"/>
      <c r="AK83" s="37">
        <v>0</v>
      </c>
      <c r="AL83" s="37"/>
      <c r="AM83" s="37">
        <v>0</v>
      </c>
      <c r="AN83" s="37"/>
      <c r="AO83" s="37">
        <v>0</v>
      </c>
      <c r="AP83" s="37"/>
      <c r="AQ83" s="70" t="s">
        <v>163</v>
      </c>
      <c r="AR83" s="37"/>
      <c r="AS83" s="70" t="s">
        <v>163</v>
      </c>
      <c r="AT83" s="37"/>
      <c r="AU83" s="37">
        <v>0</v>
      </c>
      <c r="AV83" s="37"/>
      <c r="AW83" s="13" t="s">
        <v>71</v>
      </c>
      <c r="AX83" s="37"/>
      <c r="AY83" s="37">
        <v>0</v>
      </c>
      <c r="AZ83" s="37"/>
      <c r="BA83" s="37">
        <v>0</v>
      </c>
      <c r="BB83" s="37"/>
      <c r="BC83" s="37">
        <v>0</v>
      </c>
      <c r="BD83" s="37"/>
      <c r="BE83" s="37">
        <v>0</v>
      </c>
      <c r="BF83" s="37"/>
      <c r="BG83" s="37"/>
      <c r="BH83" s="37"/>
      <c r="BI83" s="34">
        <f aca="true" t="shared" si="1" ref="BI83:BI95">SUM(AY83:BE83)-BG83</f>
        <v>0</v>
      </c>
      <c r="BJ83" s="8" t="s">
        <v>180</v>
      </c>
    </row>
    <row r="84" spans="1:62" ht="12" hidden="1">
      <c r="A84" s="13" t="s">
        <v>101</v>
      </c>
      <c r="C84" s="37">
        <v>0</v>
      </c>
      <c r="D84" s="37"/>
      <c r="E84" s="37">
        <v>0</v>
      </c>
      <c r="F84" s="37"/>
      <c r="G84" s="37">
        <v>0</v>
      </c>
      <c r="H84" s="37"/>
      <c r="I84" s="37">
        <v>0</v>
      </c>
      <c r="J84" s="37"/>
      <c r="K84" s="37">
        <v>0</v>
      </c>
      <c r="L84" s="37"/>
      <c r="M84" s="37">
        <v>0</v>
      </c>
      <c r="N84" s="37"/>
      <c r="O84" s="37">
        <v>0</v>
      </c>
      <c r="P84" s="37"/>
      <c r="Q84" s="37">
        <v>0</v>
      </c>
      <c r="R84" s="37"/>
      <c r="S84" s="37">
        <v>0</v>
      </c>
      <c r="T84" s="37"/>
      <c r="U84" s="37">
        <v>0</v>
      </c>
      <c r="V84" s="37"/>
      <c r="W84" s="13" t="s">
        <v>101</v>
      </c>
      <c r="X84" s="37"/>
      <c r="Y84" s="37">
        <v>0</v>
      </c>
      <c r="Z84" s="37"/>
      <c r="AA84" s="37">
        <v>0</v>
      </c>
      <c r="AB84" s="37"/>
      <c r="AC84" s="37">
        <v>0</v>
      </c>
      <c r="AD84" s="37"/>
      <c r="AE84" s="37">
        <v>0</v>
      </c>
      <c r="AF84" s="37"/>
      <c r="AG84" s="37">
        <v>0</v>
      </c>
      <c r="AH84" s="37"/>
      <c r="AI84" s="37">
        <v>0</v>
      </c>
      <c r="AJ84" s="37"/>
      <c r="AK84" s="37">
        <v>0</v>
      </c>
      <c r="AL84" s="37"/>
      <c r="AM84" s="37">
        <v>0</v>
      </c>
      <c r="AN84" s="37"/>
      <c r="AO84" s="37">
        <v>0</v>
      </c>
      <c r="AP84" s="37"/>
      <c r="AQ84" s="70" t="s">
        <v>163</v>
      </c>
      <c r="AR84" s="37"/>
      <c r="AS84" s="70" t="s">
        <v>163</v>
      </c>
      <c r="AT84" s="37"/>
      <c r="AU84" s="37">
        <v>0</v>
      </c>
      <c r="AV84" s="37"/>
      <c r="AW84" s="13" t="s">
        <v>101</v>
      </c>
      <c r="AX84" s="37"/>
      <c r="AY84" s="37">
        <v>0</v>
      </c>
      <c r="AZ84" s="37"/>
      <c r="BA84" s="37">
        <v>0</v>
      </c>
      <c r="BB84" s="37"/>
      <c r="BC84" s="37">
        <v>0</v>
      </c>
      <c r="BD84" s="37"/>
      <c r="BE84" s="37">
        <v>0</v>
      </c>
      <c r="BF84" s="37"/>
      <c r="BG84" s="37"/>
      <c r="BH84" s="37"/>
      <c r="BI84" s="34">
        <f t="shared" si="1"/>
        <v>0</v>
      </c>
      <c r="BJ84" s="8" t="s">
        <v>180</v>
      </c>
    </row>
    <row r="85" spans="1:62" ht="12" hidden="1">
      <c r="A85" s="13" t="s">
        <v>73</v>
      </c>
      <c r="C85" s="37">
        <v>0</v>
      </c>
      <c r="D85" s="37"/>
      <c r="E85" s="37">
        <v>0</v>
      </c>
      <c r="F85" s="37"/>
      <c r="G85" s="37">
        <v>0</v>
      </c>
      <c r="H85" s="37"/>
      <c r="I85" s="37">
        <v>0</v>
      </c>
      <c r="J85" s="37"/>
      <c r="K85" s="37">
        <v>0</v>
      </c>
      <c r="L85" s="37"/>
      <c r="M85" s="37">
        <v>0</v>
      </c>
      <c r="N85" s="37"/>
      <c r="O85" s="37">
        <v>0</v>
      </c>
      <c r="P85" s="37"/>
      <c r="Q85" s="37">
        <v>0</v>
      </c>
      <c r="R85" s="37"/>
      <c r="S85" s="37">
        <v>0</v>
      </c>
      <c r="T85" s="37"/>
      <c r="U85" s="37">
        <v>0</v>
      </c>
      <c r="V85" s="37"/>
      <c r="W85" s="13" t="s">
        <v>73</v>
      </c>
      <c r="X85" s="37"/>
      <c r="Y85" s="37">
        <v>0</v>
      </c>
      <c r="Z85" s="37"/>
      <c r="AA85" s="37">
        <v>0</v>
      </c>
      <c r="AB85" s="37"/>
      <c r="AC85" s="37">
        <v>0</v>
      </c>
      <c r="AD85" s="37"/>
      <c r="AE85" s="37">
        <v>0</v>
      </c>
      <c r="AF85" s="37"/>
      <c r="AG85" s="37">
        <v>0</v>
      </c>
      <c r="AH85" s="37"/>
      <c r="AI85" s="37">
        <v>0</v>
      </c>
      <c r="AJ85" s="37"/>
      <c r="AK85" s="37">
        <v>0</v>
      </c>
      <c r="AL85" s="37"/>
      <c r="AM85" s="37">
        <v>0</v>
      </c>
      <c r="AN85" s="37"/>
      <c r="AO85" s="37">
        <v>0</v>
      </c>
      <c r="AP85" s="37"/>
      <c r="AQ85" s="70" t="s">
        <v>163</v>
      </c>
      <c r="AR85" s="37"/>
      <c r="AS85" s="70" t="s">
        <v>163</v>
      </c>
      <c r="AT85" s="37"/>
      <c r="AU85" s="37">
        <v>0</v>
      </c>
      <c r="AV85" s="37"/>
      <c r="AW85" s="13" t="s">
        <v>73</v>
      </c>
      <c r="AX85" s="37"/>
      <c r="AY85" s="37">
        <v>0</v>
      </c>
      <c r="AZ85" s="37"/>
      <c r="BA85" s="37">
        <v>0</v>
      </c>
      <c r="BB85" s="37"/>
      <c r="BC85" s="37">
        <v>0</v>
      </c>
      <c r="BD85" s="37"/>
      <c r="BE85" s="37">
        <v>0</v>
      </c>
      <c r="BF85" s="37"/>
      <c r="BG85" s="37"/>
      <c r="BH85" s="37"/>
      <c r="BI85" s="34">
        <f t="shared" si="1"/>
        <v>0</v>
      </c>
      <c r="BJ85" s="8" t="s">
        <v>180</v>
      </c>
    </row>
    <row r="86" spans="1:62" ht="12" hidden="1">
      <c r="A86" s="13" t="s">
        <v>74</v>
      </c>
      <c r="C86" s="37">
        <v>0</v>
      </c>
      <c r="D86" s="37"/>
      <c r="E86" s="37">
        <v>0</v>
      </c>
      <c r="F86" s="37"/>
      <c r="G86" s="37">
        <v>0</v>
      </c>
      <c r="H86" s="37"/>
      <c r="I86" s="37">
        <v>0</v>
      </c>
      <c r="J86" s="37"/>
      <c r="K86" s="37">
        <v>0</v>
      </c>
      <c r="L86" s="37"/>
      <c r="M86" s="37">
        <v>0</v>
      </c>
      <c r="N86" s="37"/>
      <c r="O86" s="37">
        <v>0</v>
      </c>
      <c r="P86" s="37"/>
      <c r="Q86" s="37">
        <v>0</v>
      </c>
      <c r="R86" s="37"/>
      <c r="S86" s="37">
        <v>0</v>
      </c>
      <c r="T86" s="37"/>
      <c r="U86" s="37">
        <v>0</v>
      </c>
      <c r="V86" s="37"/>
      <c r="W86" s="13" t="s">
        <v>74</v>
      </c>
      <c r="X86" s="37"/>
      <c r="Y86" s="37">
        <v>0</v>
      </c>
      <c r="Z86" s="37"/>
      <c r="AA86" s="37">
        <v>0</v>
      </c>
      <c r="AB86" s="37"/>
      <c r="AC86" s="37">
        <v>0</v>
      </c>
      <c r="AD86" s="37"/>
      <c r="AE86" s="37">
        <v>0</v>
      </c>
      <c r="AF86" s="37"/>
      <c r="AG86" s="37">
        <v>0</v>
      </c>
      <c r="AH86" s="37"/>
      <c r="AI86" s="37">
        <v>0</v>
      </c>
      <c r="AJ86" s="37"/>
      <c r="AK86" s="37">
        <v>0</v>
      </c>
      <c r="AL86" s="37"/>
      <c r="AM86" s="37">
        <v>0</v>
      </c>
      <c r="AN86" s="37"/>
      <c r="AO86" s="37">
        <v>0</v>
      </c>
      <c r="AP86" s="37"/>
      <c r="AQ86" s="70" t="s">
        <v>163</v>
      </c>
      <c r="AR86" s="37"/>
      <c r="AS86" s="70" t="s">
        <v>163</v>
      </c>
      <c r="AT86" s="37"/>
      <c r="AU86" s="37">
        <v>0</v>
      </c>
      <c r="AV86" s="37"/>
      <c r="AW86" s="13" t="s">
        <v>74</v>
      </c>
      <c r="AX86" s="37"/>
      <c r="AY86" s="37">
        <v>0</v>
      </c>
      <c r="AZ86" s="37"/>
      <c r="BA86" s="37">
        <v>0</v>
      </c>
      <c r="BB86" s="37"/>
      <c r="BC86" s="37">
        <v>0</v>
      </c>
      <c r="BD86" s="37"/>
      <c r="BE86" s="37">
        <v>0</v>
      </c>
      <c r="BF86" s="37"/>
      <c r="BG86" s="37"/>
      <c r="BH86" s="37"/>
      <c r="BI86" s="34">
        <f t="shared" si="1"/>
        <v>0</v>
      </c>
      <c r="BJ86" s="8" t="s">
        <v>180</v>
      </c>
    </row>
    <row r="87" spans="1:62" ht="12" hidden="1">
      <c r="A87" s="13" t="s">
        <v>75</v>
      </c>
      <c r="C87" s="37">
        <v>0</v>
      </c>
      <c r="D87" s="37"/>
      <c r="E87" s="37">
        <v>0</v>
      </c>
      <c r="F87" s="37"/>
      <c r="G87" s="37">
        <v>0</v>
      </c>
      <c r="H87" s="37"/>
      <c r="I87" s="37">
        <v>0</v>
      </c>
      <c r="J87" s="37"/>
      <c r="K87" s="37">
        <v>0</v>
      </c>
      <c r="L87" s="37"/>
      <c r="M87" s="37">
        <v>0</v>
      </c>
      <c r="N87" s="37"/>
      <c r="O87" s="37">
        <v>0</v>
      </c>
      <c r="P87" s="37"/>
      <c r="Q87" s="37">
        <v>0</v>
      </c>
      <c r="R87" s="37"/>
      <c r="S87" s="37">
        <v>0</v>
      </c>
      <c r="T87" s="37"/>
      <c r="U87" s="37">
        <v>0</v>
      </c>
      <c r="V87" s="37"/>
      <c r="W87" s="13" t="s">
        <v>75</v>
      </c>
      <c r="X87" s="37"/>
      <c r="Y87" s="37">
        <v>0</v>
      </c>
      <c r="Z87" s="37"/>
      <c r="AA87" s="37">
        <v>0</v>
      </c>
      <c r="AB87" s="37"/>
      <c r="AC87" s="37">
        <v>0</v>
      </c>
      <c r="AD87" s="37"/>
      <c r="AE87" s="37">
        <v>0</v>
      </c>
      <c r="AF87" s="37"/>
      <c r="AG87" s="37">
        <v>0</v>
      </c>
      <c r="AH87" s="37"/>
      <c r="AI87" s="37">
        <v>0</v>
      </c>
      <c r="AJ87" s="37"/>
      <c r="AK87" s="37">
        <v>0</v>
      </c>
      <c r="AL87" s="37"/>
      <c r="AM87" s="37">
        <v>0</v>
      </c>
      <c r="AN87" s="37"/>
      <c r="AO87" s="37">
        <v>0</v>
      </c>
      <c r="AP87" s="37"/>
      <c r="AQ87" s="70" t="s">
        <v>163</v>
      </c>
      <c r="AR87" s="37"/>
      <c r="AS87" s="70" t="s">
        <v>163</v>
      </c>
      <c r="AT87" s="37"/>
      <c r="AU87" s="37">
        <v>0</v>
      </c>
      <c r="AV87" s="37"/>
      <c r="AW87" s="13" t="s">
        <v>75</v>
      </c>
      <c r="AX87" s="37"/>
      <c r="AY87" s="37">
        <v>0</v>
      </c>
      <c r="AZ87" s="37"/>
      <c r="BA87" s="37">
        <v>0</v>
      </c>
      <c r="BB87" s="37"/>
      <c r="BC87" s="37">
        <v>0</v>
      </c>
      <c r="BD87" s="37"/>
      <c r="BE87" s="37">
        <v>0</v>
      </c>
      <c r="BF87" s="37"/>
      <c r="BG87" s="37"/>
      <c r="BH87" s="37"/>
      <c r="BI87" s="34">
        <f t="shared" si="1"/>
        <v>0</v>
      </c>
      <c r="BJ87" s="8" t="s">
        <v>180</v>
      </c>
    </row>
    <row r="88" spans="1:62" ht="12" hidden="1">
      <c r="A88" s="13" t="s">
        <v>76</v>
      </c>
      <c r="C88" s="37">
        <v>0</v>
      </c>
      <c r="D88" s="37"/>
      <c r="E88" s="37">
        <v>0</v>
      </c>
      <c r="F88" s="37"/>
      <c r="G88" s="37">
        <v>0</v>
      </c>
      <c r="H88" s="37"/>
      <c r="I88" s="37">
        <v>0</v>
      </c>
      <c r="J88" s="37"/>
      <c r="K88" s="37">
        <v>0</v>
      </c>
      <c r="L88" s="37"/>
      <c r="M88" s="37">
        <v>0</v>
      </c>
      <c r="N88" s="37"/>
      <c r="O88" s="37">
        <v>0</v>
      </c>
      <c r="P88" s="37"/>
      <c r="Q88" s="37">
        <v>0</v>
      </c>
      <c r="R88" s="37"/>
      <c r="S88" s="37">
        <v>0</v>
      </c>
      <c r="T88" s="37"/>
      <c r="U88" s="37">
        <v>0</v>
      </c>
      <c r="V88" s="37"/>
      <c r="W88" s="13" t="s">
        <v>76</v>
      </c>
      <c r="X88" s="37"/>
      <c r="Y88" s="37">
        <v>0</v>
      </c>
      <c r="Z88" s="37"/>
      <c r="AA88" s="37">
        <v>0</v>
      </c>
      <c r="AB88" s="37"/>
      <c r="AC88" s="37">
        <v>0</v>
      </c>
      <c r="AD88" s="37"/>
      <c r="AE88" s="37">
        <v>0</v>
      </c>
      <c r="AF88" s="37"/>
      <c r="AG88" s="37">
        <v>0</v>
      </c>
      <c r="AH88" s="37"/>
      <c r="AI88" s="37">
        <v>0</v>
      </c>
      <c r="AJ88" s="37"/>
      <c r="AK88" s="37">
        <v>0</v>
      </c>
      <c r="AL88" s="37"/>
      <c r="AM88" s="37">
        <v>0</v>
      </c>
      <c r="AN88" s="37"/>
      <c r="AO88" s="37">
        <v>0</v>
      </c>
      <c r="AP88" s="37"/>
      <c r="AQ88" s="70" t="s">
        <v>163</v>
      </c>
      <c r="AR88" s="37"/>
      <c r="AS88" s="70" t="s">
        <v>163</v>
      </c>
      <c r="AT88" s="37"/>
      <c r="AU88" s="37">
        <v>0</v>
      </c>
      <c r="AV88" s="37"/>
      <c r="AW88" s="13" t="s">
        <v>76</v>
      </c>
      <c r="AX88" s="37"/>
      <c r="AY88" s="37">
        <v>0</v>
      </c>
      <c r="AZ88" s="37"/>
      <c r="BA88" s="37">
        <v>0</v>
      </c>
      <c r="BB88" s="37"/>
      <c r="BC88" s="37">
        <v>0</v>
      </c>
      <c r="BD88" s="37"/>
      <c r="BE88" s="37">
        <v>0</v>
      </c>
      <c r="BF88" s="37"/>
      <c r="BG88" s="37"/>
      <c r="BH88" s="37"/>
      <c r="BI88" s="34">
        <f t="shared" si="1"/>
        <v>0</v>
      </c>
      <c r="BJ88" s="8" t="s">
        <v>180</v>
      </c>
    </row>
    <row r="89" spans="1:61" ht="12">
      <c r="A89" s="13" t="s">
        <v>77</v>
      </c>
      <c r="C89" s="37">
        <f>G89-E89</f>
        <v>6295344</v>
      </c>
      <c r="D89" s="37"/>
      <c r="E89" s="37">
        <v>6685260</v>
      </c>
      <c r="F89" s="37"/>
      <c r="G89" s="37">
        <v>12980604</v>
      </c>
      <c r="H89" s="37"/>
      <c r="I89" s="37">
        <f>M89-K89</f>
        <v>206943</v>
      </c>
      <c r="J89" s="37"/>
      <c r="K89" s="37">
        <f>SUM(BI89)</f>
        <v>846244</v>
      </c>
      <c r="L89" s="37"/>
      <c r="M89" s="37">
        <v>1053187</v>
      </c>
      <c r="N89" s="37"/>
      <c r="O89" s="37">
        <v>5717901</v>
      </c>
      <c r="P89" s="37"/>
      <c r="Q89" s="37">
        <v>0</v>
      </c>
      <c r="R89" s="37"/>
      <c r="S89" s="37">
        <v>6209516</v>
      </c>
      <c r="T89" s="37"/>
      <c r="U89" s="37">
        <f>SUM(O89:S89)</f>
        <v>11927417</v>
      </c>
      <c r="V89" s="37"/>
      <c r="W89" s="13" t="s">
        <v>77</v>
      </c>
      <c r="X89" s="37"/>
      <c r="Y89" s="34">
        <v>776194</v>
      </c>
      <c r="Z89" s="34"/>
      <c r="AA89" s="34">
        <f>2285044-216398</f>
        <v>2068646</v>
      </c>
      <c r="AB89" s="34"/>
      <c r="AC89" s="34">
        <v>216398</v>
      </c>
      <c r="AD89" s="34"/>
      <c r="AE89" s="38">
        <f>+Y89-AA89-AC89</f>
        <v>-1508850</v>
      </c>
      <c r="AF89" s="38"/>
      <c r="AG89" s="38">
        <v>-209721</v>
      </c>
      <c r="AH89" s="38"/>
      <c r="AI89" s="34">
        <v>-22034</v>
      </c>
      <c r="AJ89" s="34"/>
      <c r="AK89" s="34">
        <v>0</v>
      </c>
      <c r="AL89" s="34"/>
      <c r="AM89" s="34">
        <f>9200-1154</f>
        <v>8046</v>
      </c>
      <c r="AN89" s="34"/>
      <c r="AO89" s="38">
        <f>+AE89+AG89+AI89-AK89+AM89</f>
        <v>-1732559</v>
      </c>
      <c r="AP89" s="38"/>
      <c r="AQ89" s="70" t="s">
        <v>163</v>
      </c>
      <c r="AR89" s="34"/>
      <c r="AS89" s="70" t="s">
        <v>163</v>
      </c>
      <c r="AT89" s="34"/>
      <c r="AU89" s="34">
        <f>+C89-I89</f>
        <v>6088401</v>
      </c>
      <c r="AV89" s="34"/>
      <c r="AW89" s="13" t="s">
        <v>77</v>
      </c>
      <c r="AX89" s="34"/>
      <c r="AY89" s="34">
        <v>227349</v>
      </c>
      <c r="AZ89" s="34"/>
      <c r="BA89" s="34">
        <v>0</v>
      </c>
      <c r="BB89" s="34"/>
      <c r="BC89" s="34">
        <v>608861</v>
      </c>
      <c r="BD89" s="34"/>
      <c r="BE89" s="34">
        <v>10034</v>
      </c>
      <c r="BF89" s="34"/>
      <c r="BG89" s="34"/>
      <c r="BH89" s="34"/>
      <c r="BI89" s="34">
        <f t="shared" si="1"/>
        <v>846244</v>
      </c>
    </row>
    <row r="90" spans="1:61" ht="12">
      <c r="A90" s="13" t="s">
        <v>78</v>
      </c>
      <c r="C90" s="37">
        <f>G90-E90</f>
        <v>4307811</v>
      </c>
      <c r="D90" s="37"/>
      <c r="E90" s="37">
        <v>15787073</v>
      </c>
      <c r="F90" s="37"/>
      <c r="G90" s="37">
        <v>20094884</v>
      </c>
      <c r="H90" s="37"/>
      <c r="I90" s="37">
        <f>M90-K90</f>
        <v>298001</v>
      </c>
      <c r="J90" s="37"/>
      <c r="K90" s="37">
        <f>SUM(BI90)</f>
        <v>673932</v>
      </c>
      <c r="L90" s="37"/>
      <c r="M90" s="37">
        <v>971933</v>
      </c>
      <c r="N90" s="37"/>
      <c r="O90" s="37">
        <v>15108327</v>
      </c>
      <c r="P90" s="37"/>
      <c r="Q90" s="37">
        <v>0</v>
      </c>
      <c r="R90" s="37"/>
      <c r="S90" s="37">
        <v>4014624</v>
      </c>
      <c r="T90" s="37"/>
      <c r="U90" s="37">
        <f>SUM(O90:S90)</f>
        <v>19122951</v>
      </c>
      <c r="V90" s="37"/>
      <c r="W90" s="13" t="s">
        <v>78</v>
      </c>
      <c r="X90" s="37"/>
      <c r="Y90" s="34">
        <v>3628311</v>
      </c>
      <c r="Z90" s="34"/>
      <c r="AA90" s="34">
        <f>4588304-968383</f>
        <v>3619921</v>
      </c>
      <c r="AB90" s="34"/>
      <c r="AC90" s="34">
        <v>968383</v>
      </c>
      <c r="AD90" s="34"/>
      <c r="AE90" s="38">
        <f>+Y90-AA90-AC90</f>
        <v>-959993</v>
      </c>
      <c r="AF90" s="38"/>
      <c r="AG90" s="38">
        <v>-1134</v>
      </c>
      <c r="AH90" s="38"/>
      <c r="AI90" s="34">
        <v>486131</v>
      </c>
      <c r="AJ90" s="34"/>
      <c r="AK90" s="34">
        <v>1131639</v>
      </c>
      <c r="AL90" s="34"/>
      <c r="AM90" s="34">
        <v>415461</v>
      </c>
      <c r="AN90" s="34"/>
      <c r="AO90" s="38">
        <f>+AE90+AG90+AI90-AK90+AM90</f>
        <v>-1191174</v>
      </c>
      <c r="AP90" s="38"/>
      <c r="AQ90" s="70" t="s">
        <v>163</v>
      </c>
      <c r="AR90" s="34"/>
      <c r="AS90" s="70" t="s">
        <v>163</v>
      </c>
      <c r="AT90" s="34"/>
      <c r="AU90" s="34">
        <f>+C90-I90</f>
        <v>4009810</v>
      </c>
      <c r="AV90" s="34"/>
      <c r="AW90" s="13" t="s">
        <v>78</v>
      </c>
      <c r="AX90" s="34"/>
      <c r="AY90" s="34">
        <v>196831</v>
      </c>
      <c r="AZ90" s="34"/>
      <c r="BA90" s="34">
        <v>0</v>
      </c>
      <c r="BB90" s="34"/>
      <c r="BC90" s="34">
        <v>440608</v>
      </c>
      <c r="BD90" s="34"/>
      <c r="BE90" s="34">
        <f>36493</f>
        <v>36493</v>
      </c>
      <c r="BF90" s="34"/>
      <c r="BG90" s="34"/>
      <c r="BH90" s="34"/>
      <c r="BI90" s="34">
        <f t="shared" si="1"/>
        <v>673932</v>
      </c>
    </row>
    <row r="91" spans="1:61" ht="12">
      <c r="A91" s="13" t="s">
        <v>79</v>
      </c>
      <c r="C91" s="37">
        <f>G91-E91</f>
        <v>1755922</v>
      </c>
      <c r="D91" s="37"/>
      <c r="E91" s="37">
        <v>4766747</v>
      </c>
      <c r="F91" s="37"/>
      <c r="G91" s="37">
        <v>6522669</v>
      </c>
      <c r="H91" s="37"/>
      <c r="I91" s="37">
        <f>M91-K91</f>
        <v>122840</v>
      </c>
      <c r="J91" s="37"/>
      <c r="K91" s="37">
        <f>SUM(BI91)</f>
        <v>1235683</v>
      </c>
      <c r="L91" s="37"/>
      <c r="M91" s="37">
        <v>1358523</v>
      </c>
      <c r="N91" s="37"/>
      <c r="O91" s="37">
        <v>0</v>
      </c>
      <c r="P91" s="37"/>
      <c r="Q91" s="37">
        <v>0</v>
      </c>
      <c r="R91" s="37"/>
      <c r="S91" s="37">
        <v>5164146</v>
      </c>
      <c r="T91" s="37"/>
      <c r="U91" s="37">
        <f>SUM(O91:S91)</f>
        <v>5164146</v>
      </c>
      <c r="V91" s="37"/>
      <c r="W91" s="13" t="s">
        <v>79</v>
      </c>
      <c r="X91" s="37"/>
      <c r="Y91" s="34">
        <v>624841</v>
      </c>
      <c r="Z91" s="34"/>
      <c r="AA91" s="34">
        <f>605339-157018</f>
        <v>448321</v>
      </c>
      <c r="AB91" s="34"/>
      <c r="AC91" s="34">
        <v>157018</v>
      </c>
      <c r="AD91" s="34"/>
      <c r="AE91" s="38">
        <f>+Y91-AA91-AC91</f>
        <v>19502</v>
      </c>
      <c r="AF91" s="38"/>
      <c r="AG91" s="38">
        <v>-26185</v>
      </c>
      <c r="AH91" s="38"/>
      <c r="AI91" s="34">
        <v>0</v>
      </c>
      <c r="AJ91" s="34"/>
      <c r="AK91" s="34">
        <v>13</v>
      </c>
      <c r="AL91" s="34"/>
      <c r="AM91" s="34">
        <v>0</v>
      </c>
      <c r="AN91" s="34"/>
      <c r="AO91" s="38">
        <f>+AE91+AG91+AI91-AK91+AM91</f>
        <v>-6696</v>
      </c>
      <c r="AP91" s="38"/>
      <c r="AQ91" s="70" t="s">
        <v>163</v>
      </c>
      <c r="AR91" s="34"/>
      <c r="AS91" s="70" t="s">
        <v>163</v>
      </c>
      <c r="AT91" s="34"/>
      <c r="AU91" s="34">
        <f>+C91-I91</f>
        <v>1633082</v>
      </c>
      <c r="AV91" s="34"/>
      <c r="AW91" s="13" t="s">
        <v>79</v>
      </c>
      <c r="AX91" s="34"/>
      <c r="AY91" s="34">
        <v>0</v>
      </c>
      <c r="AZ91" s="34"/>
      <c r="BA91" s="34">
        <v>0</v>
      </c>
      <c r="BB91" s="34"/>
      <c r="BC91" s="34">
        <f>376860+855705</f>
        <v>1232565</v>
      </c>
      <c r="BD91" s="34"/>
      <c r="BE91" s="34">
        <f>3118</f>
        <v>3118</v>
      </c>
      <c r="BF91" s="34"/>
      <c r="BG91" s="34"/>
      <c r="BH91" s="34"/>
      <c r="BI91" s="34">
        <f t="shared" si="1"/>
        <v>1235683</v>
      </c>
    </row>
    <row r="92" spans="1:61" ht="12">
      <c r="A92" s="13" t="s">
        <v>80</v>
      </c>
      <c r="C92" s="37">
        <f>G92-E92</f>
        <v>386846</v>
      </c>
      <c r="D92" s="37"/>
      <c r="E92" s="37">
        <v>1599869</v>
      </c>
      <c r="F92" s="37"/>
      <c r="G92" s="37">
        <v>1986715</v>
      </c>
      <c r="H92" s="37"/>
      <c r="I92" s="37">
        <f>M92-K92</f>
        <v>132493</v>
      </c>
      <c r="J92" s="37"/>
      <c r="K92" s="37">
        <f>SUM(BI92)</f>
        <v>2250000</v>
      </c>
      <c r="L92" s="37"/>
      <c r="M92" s="37">
        <v>2382493</v>
      </c>
      <c r="N92" s="37"/>
      <c r="O92" s="37">
        <v>0</v>
      </c>
      <c r="P92" s="37"/>
      <c r="Q92" s="37">
        <v>0</v>
      </c>
      <c r="R92" s="37"/>
      <c r="S92" s="37">
        <v>-395778</v>
      </c>
      <c r="T92" s="37"/>
      <c r="U92" s="37">
        <f>SUM(O92:S92)</f>
        <v>-395778</v>
      </c>
      <c r="V92" s="37"/>
      <c r="W92" s="13" t="s">
        <v>80</v>
      </c>
      <c r="X92" s="37"/>
      <c r="Y92" s="34">
        <v>482540</v>
      </c>
      <c r="Z92" s="34"/>
      <c r="AA92" s="34">
        <f>293108</f>
        <v>293108</v>
      </c>
      <c r="AB92" s="34"/>
      <c r="AC92" s="34">
        <v>35009</v>
      </c>
      <c r="AD92" s="34"/>
      <c r="AE92" s="38">
        <f>+Y92-AA92-AC92</f>
        <v>154423</v>
      </c>
      <c r="AF92" s="38"/>
      <c r="AG92" s="38">
        <v>18637</v>
      </c>
      <c r="AH92" s="38"/>
      <c r="AI92" s="34">
        <v>0</v>
      </c>
      <c r="AJ92" s="34"/>
      <c r="AK92" s="34">
        <v>0</v>
      </c>
      <c r="AL92" s="34"/>
      <c r="AM92" s="34">
        <v>38900</v>
      </c>
      <c r="AN92" s="34"/>
      <c r="AO92" s="38">
        <f>+AE92+AG92+AI92-AK92+AM92</f>
        <v>211960</v>
      </c>
      <c r="AP92" s="38"/>
      <c r="AQ92" s="70" t="s">
        <v>163</v>
      </c>
      <c r="AR92" s="34"/>
      <c r="AS92" s="70" t="s">
        <v>163</v>
      </c>
      <c r="AT92" s="34"/>
      <c r="AU92" s="34">
        <f>+C92-I92</f>
        <v>254353</v>
      </c>
      <c r="AV92" s="34"/>
      <c r="AW92" s="13" t="s">
        <v>80</v>
      </c>
      <c r="AX92" s="34"/>
      <c r="AY92" s="34">
        <v>0</v>
      </c>
      <c r="AZ92" s="34"/>
      <c r="BA92" s="34">
        <v>0</v>
      </c>
      <c r="BB92" s="34"/>
      <c r="BC92" s="34">
        <v>0</v>
      </c>
      <c r="BD92" s="34"/>
      <c r="BE92" s="34">
        <v>2250000</v>
      </c>
      <c r="BF92" s="34"/>
      <c r="BG92" s="34"/>
      <c r="BH92" s="34"/>
      <c r="BI92" s="34">
        <f t="shared" si="1"/>
        <v>2250000</v>
      </c>
    </row>
    <row r="93" spans="1:62" ht="12" hidden="1">
      <c r="A93" s="13" t="s">
        <v>81</v>
      </c>
      <c r="C93" s="37">
        <v>0</v>
      </c>
      <c r="D93" s="37"/>
      <c r="E93" s="37">
        <v>0</v>
      </c>
      <c r="F93" s="37"/>
      <c r="G93" s="37">
        <v>0</v>
      </c>
      <c r="H93" s="37"/>
      <c r="I93" s="37">
        <v>0</v>
      </c>
      <c r="J93" s="37"/>
      <c r="K93" s="37">
        <v>0</v>
      </c>
      <c r="L93" s="37"/>
      <c r="M93" s="37">
        <v>0</v>
      </c>
      <c r="N93" s="37"/>
      <c r="O93" s="37">
        <v>0</v>
      </c>
      <c r="P93" s="37"/>
      <c r="Q93" s="37">
        <v>0</v>
      </c>
      <c r="R93" s="37"/>
      <c r="S93" s="37">
        <v>0</v>
      </c>
      <c r="T93" s="37"/>
      <c r="U93" s="37">
        <v>0</v>
      </c>
      <c r="V93" s="37"/>
      <c r="W93" s="13" t="s">
        <v>81</v>
      </c>
      <c r="X93" s="37"/>
      <c r="Y93" s="37">
        <v>0</v>
      </c>
      <c r="Z93" s="37"/>
      <c r="AA93" s="37">
        <v>0</v>
      </c>
      <c r="AB93" s="37"/>
      <c r="AC93" s="37">
        <v>0</v>
      </c>
      <c r="AD93" s="37"/>
      <c r="AE93" s="37">
        <v>0</v>
      </c>
      <c r="AF93" s="37"/>
      <c r="AG93" s="37">
        <v>0</v>
      </c>
      <c r="AH93" s="37"/>
      <c r="AI93" s="37">
        <v>0</v>
      </c>
      <c r="AJ93" s="37"/>
      <c r="AK93" s="37">
        <v>0</v>
      </c>
      <c r="AL93" s="37"/>
      <c r="AM93" s="37">
        <v>0</v>
      </c>
      <c r="AN93" s="37"/>
      <c r="AO93" s="37">
        <v>0</v>
      </c>
      <c r="AP93" s="37"/>
      <c r="AQ93" s="70" t="s">
        <v>163</v>
      </c>
      <c r="AR93" s="37"/>
      <c r="AS93" s="70" t="s">
        <v>163</v>
      </c>
      <c r="AT93" s="37"/>
      <c r="AU93" s="37">
        <v>0</v>
      </c>
      <c r="AV93" s="37"/>
      <c r="AW93" s="13" t="s">
        <v>81</v>
      </c>
      <c r="AX93" s="37"/>
      <c r="AY93" s="37">
        <v>0</v>
      </c>
      <c r="AZ93" s="37"/>
      <c r="BA93" s="37">
        <v>0</v>
      </c>
      <c r="BB93" s="37"/>
      <c r="BC93" s="37">
        <v>0</v>
      </c>
      <c r="BD93" s="37"/>
      <c r="BE93" s="37">
        <v>0</v>
      </c>
      <c r="BF93" s="37"/>
      <c r="BG93" s="37"/>
      <c r="BH93" s="37"/>
      <c r="BI93" s="34">
        <f t="shared" si="1"/>
        <v>0</v>
      </c>
      <c r="BJ93" s="8" t="s">
        <v>166</v>
      </c>
    </row>
    <row r="94" spans="1:62" ht="12" hidden="1">
      <c r="A94" s="13" t="s">
        <v>82</v>
      </c>
      <c r="C94" s="37">
        <v>0</v>
      </c>
      <c r="D94" s="37"/>
      <c r="E94" s="37">
        <v>0</v>
      </c>
      <c r="F94" s="37"/>
      <c r="G94" s="37">
        <v>0</v>
      </c>
      <c r="H94" s="37"/>
      <c r="I94" s="37">
        <v>0</v>
      </c>
      <c r="J94" s="37"/>
      <c r="K94" s="37">
        <v>0</v>
      </c>
      <c r="L94" s="37"/>
      <c r="M94" s="37">
        <v>0</v>
      </c>
      <c r="N94" s="37"/>
      <c r="O94" s="37">
        <v>0</v>
      </c>
      <c r="P94" s="37"/>
      <c r="Q94" s="37">
        <v>0</v>
      </c>
      <c r="R94" s="37"/>
      <c r="S94" s="37">
        <v>0</v>
      </c>
      <c r="T94" s="37"/>
      <c r="U94" s="37">
        <v>0</v>
      </c>
      <c r="V94" s="37"/>
      <c r="W94" s="13" t="s">
        <v>82</v>
      </c>
      <c r="X94" s="37"/>
      <c r="Y94" s="37">
        <v>0</v>
      </c>
      <c r="Z94" s="37"/>
      <c r="AA94" s="37">
        <v>0</v>
      </c>
      <c r="AB94" s="37"/>
      <c r="AC94" s="37">
        <v>0</v>
      </c>
      <c r="AD94" s="37"/>
      <c r="AE94" s="37">
        <v>0</v>
      </c>
      <c r="AF94" s="37"/>
      <c r="AG94" s="37">
        <v>0</v>
      </c>
      <c r="AH94" s="37"/>
      <c r="AI94" s="37">
        <v>0</v>
      </c>
      <c r="AJ94" s="37"/>
      <c r="AK94" s="37">
        <v>0</v>
      </c>
      <c r="AL94" s="37"/>
      <c r="AM94" s="37">
        <v>0</v>
      </c>
      <c r="AN94" s="37"/>
      <c r="AO94" s="37">
        <v>0</v>
      </c>
      <c r="AP94" s="37"/>
      <c r="AQ94" s="70" t="s">
        <v>163</v>
      </c>
      <c r="AR94" s="37"/>
      <c r="AS94" s="70" t="s">
        <v>163</v>
      </c>
      <c r="AT94" s="37"/>
      <c r="AU94" s="37">
        <v>0</v>
      </c>
      <c r="AV94" s="37"/>
      <c r="AW94" s="13" t="s">
        <v>82</v>
      </c>
      <c r="AX94" s="37"/>
      <c r="AY94" s="37">
        <v>0</v>
      </c>
      <c r="AZ94" s="37"/>
      <c r="BA94" s="37">
        <v>0</v>
      </c>
      <c r="BB94" s="37"/>
      <c r="BC94" s="37">
        <v>0</v>
      </c>
      <c r="BD94" s="37"/>
      <c r="BE94" s="37">
        <v>0</v>
      </c>
      <c r="BF94" s="37"/>
      <c r="BG94" s="37"/>
      <c r="BH94" s="37"/>
      <c r="BI94" s="34">
        <f t="shared" si="1"/>
        <v>0</v>
      </c>
      <c r="BJ94" s="8" t="s">
        <v>166</v>
      </c>
    </row>
    <row r="95" spans="1:61" ht="12">
      <c r="A95" s="13" t="s">
        <v>83</v>
      </c>
      <c r="C95" s="37">
        <f>G95-E95</f>
        <v>27099049</v>
      </c>
      <c r="D95" s="37"/>
      <c r="E95" s="37">
        <f>77384036-16732332</f>
        <v>60651704</v>
      </c>
      <c r="F95" s="37"/>
      <c r="G95" s="37">
        <v>87750753</v>
      </c>
      <c r="H95" s="37"/>
      <c r="I95" s="37">
        <f>M95-K95</f>
        <v>1097034</v>
      </c>
      <c r="J95" s="37"/>
      <c r="K95" s="37">
        <f>SUM(BI95)</f>
        <v>22153628</v>
      </c>
      <c r="L95" s="37"/>
      <c r="M95" s="37">
        <v>23250662</v>
      </c>
      <c r="N95" s="37"/>
      <c r="O95" s="37">
        <v>0</v>
      </c>
      <c r="P95" s="37"/>
      <c r="Q95" s="37">
        <v>0</v>
      </c>
      <c r="R95" s="37"/>
      <c r="S95" s="37">
        <v>64500091</v>
      </c>
      <c r="T95" s="37"/>
      <c r="U95" s="37">
        <f>SUM(O95:S95)</f>
        <v>64500091</v>
      </c>
      <c r="V95" s="37"/>
      <c r="W95" s="13" t="s">
        <v>83</v>
      </c>
      <c r="X95" s="37"/>
      <c r="Y95" s="34">
        <v>7672033</v>
      </c>
      <c r="Z95" s="34"/>
      <c r="AA95" s="34">
        <f>7427260-1618073</f>
        <v>5809187</v>
      </c>
      <c r="AB95" s="34"/>
      <c r="AC95" s="34">
        <v>1618073</v>
      </c>
      <c r="AD95" s="34"/>
      <c r="AE95" s="38">
        <f>+Y95-AA95-AC95</f>
        <v>244773</v>
      </c>
      <c r="AF95" s="38"/>
      <c r="AG95" s="38">
        <v>5689515</v>
      </c>
      <c r="AH95" s="38"/>
      <c r="AI95" s="34">
        <v>0</v>
      </c>
      <c r="AJ95" s="34"/>
      <c r="AK95" s="34">
        <v>0</v>
      </c>
      <c r="AL95" s="34"/>
      <c r="AM95" s="34">
        <v>0</v>
      </c>
      <c r="AN95" s="34"/>
      <c r="AO95" s="38">
        <f>+AE95+AG95+AI95-AK95+AM95</f>
        <v>5934288</v>
      </c>
      <c r="AP95" s="38"/>
      <c r="AQ95" s="70" t="s">
        <v>163</v>
      </c>
      <c r="AR95" s="34"/>
      <c r="AS95" s="70" t="s">
        <v>163</v>
      </c>
      <c r="AT95" s="34"/>
      <c r="AU95" s="34">
        <f>+C95-I95</f>
        <v>26002015</v>
      </c>
      <c r="AV95" s="34"/>
      <c r="AW95" s="13" t="s">
        <v>83</v>
      </c>
      <c r="AX95" s="34"/>
      <c r="AY95" s="34">
        <v>0</v>
      </c>
      <c r="AZ95" s="34"/>
      <c r="BA95" s="34">
        <v>20015993</v>
      </c>
      <c r="BB95" s="34"/>
      <c r="BC95" s="34">
        <v>0</v>
      </c>
      <c r="BD95" s="34"/>
      <c r="BE95" s="34">
        <f>240587+1897048</f>
        <v>2137635</v>
      </c>
      <c r="BF95" s="34"/>
      <c r="BG95" s="34"/>
      <c r="BH95" s="34"/>
      <c r="BI95" s="34">
        <f t="shared" si="1"/>
        <v>22153628</v>
      </c>
    </row>
    <row r="96" spans="1:62" ht="12" hidden="1">
      <c r="A96" s="13" t="s">
        <v>84</v>
      </c>
      <c r="C96" s="37">
        <v>0</v>
      </c>
      <c r="D96" s="37"/>
      <c r="E96" s="37">
        <v>0</v>
      </c>
      <c r="F96" s="37"/>
      <c r="G96" s="37">
        <v>0</v>
      </c>
      <c r="H96" s="37"/>
      <c r="I96" s="37">
        <v>0</v>
      </c>
      <c r="J96" s="37"/>
      <c r="K96" s="37">
        <v>0</v>
      </c>
      <c r="L96" s="37"/>
      <c r="M96" s="37">
        <v>0</v>
      </c>
      <c r="N96" s="37"/>
      <c r="O96" s="37">
        <v>0</v>
      </c>
      <c r="P96" s="37"/>
      <c r="Q96" s="37">
        <v>0</v>
      </c>
      <c r="R96" s="37"/>
      <c r="S96" s="37">
        <v>0</v>
      </c>
      <c r="T96" s="37"/>
      <c r="U96" s="37">
        <v>0</v>
      </c>
      <c r="V96" s="37"/>
      <c r="W96" s="37"/>
      <c r="X96" s="37"/>
      <c r="Y96" s="37">
        <v>0</v>
      </c>
      <c r="Z96" s="37"/>
      <c r="AA96" s="37">
        <v>0</v>
      </c>
      <c r="AB96" s="37"/>
      <c r="AC96" s="37">
        <v>0</v>
      </c>
      <c r="AD96" s="37"/>
      <c r="AE96" s="37">
        <v>0</v>
      </c>
      <c r="AF96" s="37"/>
      <c r="AG96" s="37">
        <v>0</v>
      </c>
      <c r="AH96" s="37"/>
      <c r="AI96" s="37">
        <v>0</v>
      </c>
      <c r="AJ96" s="37"/>
      <c r="AK96" s="37">
        <v>0</v>
      </c>
      <c r="AL96" s="37"/>
      <c r="AM96" s="37">
        <v>0</v>
      </c>
      <c r="AN96" s="37"/>
      <c r="AO96" s="37">
        <v>0</v>
      </c>
      <c r="AP96" s="37"/>
      <c r="AQ96" s="37">
        <v>0</v>
      </c>
      <c r="AR96" s="37"/>
      <c r="AS96" s="37">
        <v>0</v>
      </c>
      <c r="AT96" s="37"/>
      <c r="AU96" s="37">
        <v>0</v>
      </c>
      <c r="AV96" s="37"/>
      <c r="AW96" s="37"/>
      <c r="AX96" s="37"/>
      <c r="AY96" s="37">
        <v>0</v>
      </c>
      <c r="AZ96" s="37"/>
      <c r="BA96" s="37">
        <v>0</v>
      </c>
      <c r="BB96" s="37"/>
      <c r="BC96" s="37">
        <v>0</v>
      </c>
      <c r="BD96" s="37"/>
      <c r="BE96" s="37">
        <v>0</v>
      </c>
      <c r="BF96" s="37"/>
      <c r="BG96" s="37"/>
      <c r="BH96" s="37"/>
      <c r="BI96" s="37">
        <v>0</v>
      </c>
      <c r="BJ96" s="8" t="s">
        <v>166</v>
      </c>
    </row>
    <row r="97" spans="1:62" ht="12" hidden="1">
      <c r="A97" s="13" t="s">
        <v>141</v>
      </c>
      <c r="C97" s="37">
        <v>0</v>
      </c>
      <c r="D97" s="37"/>
      <c r="E97" s="37">
        <v>0</v>
      </c>
      <c r="F97" s="37"/>
      <c r="G97" s="37">
        <v>0</v>
      </c>
      <c r="H97" s="37"/>
      <c r="I97" s="37">
        <v>0</v>
      </c>
      <c r="J97" s="37"/>
      <c r="K97" s="37">
        <v>0</v>
      </c>
      <c r="L97" s="37"/>
      <c r="M97" s="37">
        <v>0</v>
      </c>
      <c r="N97" s="37"/>
      <c r="O97" s="37">
        <v>0</v>
      </c>
      <c r="P97" s="37"/>
      <c r="Q97" s="37">
        <v>0</v>
      </c>
      <c r="R97" s="37"/>
      <c r="S97" s="37">
        <v>0</v>
      </c>
      <c r="T97" s="37"/>
      <c r="U97" s="37">
        <v>0</v>
      </c>
      <c r="V97" s="37"/>
      <c r="W97" s="37"/>
      <c r="X97" s="37"/>
      <c r="Y97" s="37">
        <v>0</v>
      </c>
      <c r="Z97" s="37"/>
      <c r="AA97" s="37">
        <v>0</v>
      </c>
      <c r="AB97" s="37"/>
      <c r="AC97" s="37">
        <v>0</v>
      </c>
      <c r="AD97" s="37"/>
      <c r="AE97" s="37">
        <v>0</v>
      </c>
      <c r="AF97" s="37"/>
      <c r="AG97" s="37">
        <v>0</v>
      </c>
      <c r="AH97" s="37"/>
      <c r="AI97" s="37">
        <v>0</v>
      </c>
      <c r="AJ97" s="37"/>
      <c r="AK97" s="37">
        <v>0</v>
      </c>
      <c r="AL97" s="37"/>
      <c r="AM97" s="37">
        <v>0</v>
      </c>
      <c r="AN97" s="37"/>
      <c r="AO97" s="37">
        <v>0</v>
      </c>
      <c r="AP97" s="37"/>
      <c r="AQ97" s="37">
        <v>0</v>
      </c>
      <c r="AR97" s="37"/>
      <c r="AS97" s="37">
        <v>0</v>
      </c>
      <c r="AT97" s="37"/>
      <c r="AU97" s="37">
        <v>0</v>
      </c>
      <c r="AV97" s="37"/>
      <c r="AW97" s="37"/>
      <c r="AX97" s="37"/>
      <c r="AY97" s="37">
        <v>0</v>
      </c>
      <c r="AZ97" s="37"/>
      <c r="BA97" s="37">
        <v>0</v>
      </c>
      <c r="BB97" s="37"/>
      <c r="BC97" s="37">
        <v>0</v>
      </c>
      <c r="BD97" s="37"/>
      <c r="BE97" s="37">
        <v>0</v>
      </c>
      <c r="BF97" s="37"/>
      <c r="BG97" s="37"/>
      <c r="BH97" s="37"/>
      <c r="BI97" s="37">
        <v>0</v>
      </c>
      <c r="BJ97" s="8" t="s">
        <v>168</v>
      </c>
    </row>
    <row r="98" spans="1:61" ht="12" hidden="1">
      <c r="A98" s="13" t="s">
        <v>184</v>
      </c>
      <c r="C98" s="37">
        <v>0</v>
      </c>
      <c r="D98" s="37"/>
      <c r="E98" s="37">
        <v>0</v>
      </c>
      <c r="F98" s="37"/>
      <c r="G98" s="37">
        <v>0</v>
      </c>
      <c r="H98" s="37"/>
      <c r="I98" s="37">
        <v>0</v>
      </c>
      <c r="J98" s="37"/>
      <c r="K98" s="37">
        <v>0</v>
      </c>
      <c r="L98" s="37"/>
      <c r="M98" s="37">
        <v>0</v>
      </c>
      <c r="N98" s="37"/>
      <c r="O98" s="37">
        <v>0</v>
      </c>
      <c r="P98" s="37"/>
      <c r="Q98" s="37">
        <v>0</v>
      </c>
      <c r="R98" s="37"/>
      <c r="S98" s="37">
        <v>0</v>
      </c>
      <c r="T98" s="37"/>
      <c r="U98" s="37">
        <v>0</v>
      </c>
      <c r="V98" s="37"/>
      <c r="W98" s="37"/>
      <c r="X98" s="37"/>
      <c r="Y98" s="37">
        <v>0</v>
      </c>
      <c r="Z98" s="37"/>
      <c r="AA98" s="37">
        <v>0</v>
      </c>
      <c r="AB98" s="37"/>
      <c r="AC98" s="37">
        <v>0</v>
      </c>
      <c r="AD98" s="37"/>
      <c r="AE98" s="37">
        <v>0</v>
      </c>
      <c r="AF98" s="37"/>
      <c r="AG98" s="37">
        <v>0</v>
      </c>
      <c r="AH98" s="37"/>
      <c r="AI98" s="37">
        <v>0</v>
      </c>
      <c r="AJ98" s="37"/>
      <c r="AK98" s="37">
        <v>0</v>
      </c>
      <c r="AL98" s="37"/>
      <c r="AM98" s="37">
        <v>0</v>
      </c>
      <c r="AN98" s="37"/>
      <c r="AO98" s="37">
        <v>0</v>
      </c>
      <c r="AP98" s="37"/>
      <c r="AQ98" s="37">
        <v>0</v>
      </c>
      <c r="AR98" s="37"/>
      <c r="AS98" s="37">
        <v>0</v>
      </c>
      <c r="AT98" s="37"/>
      <c r="AU98" s="37">
        <v>0</v>
      </c>
      <c r="AV98" s="37"/>
      <c r="AW98" s="37"/>
      <c r="AX98" s="37"/>
      <c r="AY98" s="37">
        <v>0</v>
      </c>
      <c r="AZ98" s="37"/>
      <c r="BA98" s="37">
        <v>0</v>
      </c>
      <c r="BB98" s="37"/>
      <c r="BC98" s="37">
        <v>0</v>
      </c>
      <c r="BD98" s="37"/>
      <c r="BE98" s="37">
        <v>0</v>
      </c>
      <c r="BF98" s="37"/>
      <c r="BG98" s="37"/>
      <c r="BH98" s="37"/>
      <c r="BI98" s="37">
        <v>0</v>
      </c>
    </row>
    <row r="99" spans="1:62" ht="12" hidden="1">
      <c r="A99" s="13" t="s">
        <v>86</v>
      </c>
      <c r="C99" s="37">
        <v>0</v>
      </c>
      <c r="D99" s="37"/>
      <c r="E99" s="37">
        <v>0</v>
      </c>
      <c r="F99" s="37"/>
      <c r="G99" s="37">
        <v>0</v>
      </c>
      <c r="H99" s="37"/>
      <c r="I99" s="37">
        <v>0</v>
      </c>
      <c r="J99" s="37"/>
      <c r="K99" s="37">
        <v>0</v>
      </c>
      <c r="L99" s="37"/>
      <c r="M99" s="37">
        <v>0</v>
      </c>
      <c r="N99" s="37"/>
      <c r="O99" s="37">
        <v>0</v>
      </c>
      <c r="P99" s="37"/>
      <c r="Q99" s="37">
        <v>0</v>
      </c>
      <c r="R99" s="37"/>
      <c r="S99" s="37">
        <v>0</v>
      </c>
      <c r="T99" s="37"/>
      <c r="U99" s="37">
        <v>0</v>
      </c>
      <c r="V99" s="37"/>
      <c r="W99" s="37"/>
      <c r="X99" s="37"/>
      <c r="Y99" s="37">
        <v>0</v>
      </c>
      <c r="Z99" s="37"/>
      <c r="AA99" s="37">
        <v>0</v>
      </c>
      <c r="AB99" s="37"/>
      <c r="AC99" s="37">
        <v>0</v>
      </c>
      <c r="AD99" s="37"/>
      <c r="AE99" s="37">
        <v>0</v>
      </c>
      <c r="AF99" s="37"/>
      <c r="AG99" s="37">
        <v>0</v>
      </c>
      <c r="AH99" s="37"/>
      <c r="AI99" s="37">
        <v>0</v>
      </c>
      <c r="AJ99" s="37"/>
      <c r="AK99" s="37">
        <v>0</v>
      </c>
      <c r="AL99" s="37"/>
      <c r="AM99" s="37">
        <v>0</v>
      </c>
      <c r="AN99" s="37"/>
      <c r="AO99" s="37">
        <v>0</v>
      </c>
      <c r="AP99" s="37"/>
      <c r="AQ99" s="37">
        <v>0</v>
      </c>
      <c r="AR99" s="37"/>
      <c r="AS99" s="37">
        <v>0</v>
      </c>
      <c r="AT99" s="37"/>
      <c r="AU99" s="37">
        <v>0</v>
      </c>
      <c r="AV99" s="37"/>
      <c r="AW99" s="37"/>
      <c r="AX99" s="37"/>
      <c r="AY99" s="37">
        <v>0</v>
      </c>
      <c r="AZ99" s="37"/>
      <c r="BA99" s="37">
        <v>0</v>
      </c>
      <c r="BB99" s="37"/>
      <c r="BC99" s="37">
        <v>0</v>
      </c>
      <c r="BD99" s="37"/>
      <c r="BE99" s="37">
        <v>0</v>
      </c>
      <c r="BF99" s="37"/>
      <c r="BG99" s="37"/>
      <c r="BH99" s="37"/>
      <c r="BI99" s="37">
        <v>0</v>
      </c>
      <c r="BJ99" s="8" t="s">
        <v>168</v>
      </c>
    </row>
    <row r="100" spans="1:61" ht="12" hidden="1">
      <c r="A100" s="13" t="s">
        <v>185</v>
      </c>
      <c r="C100" s="37">
        <v>0</v>
      </c>
      <c r="D100" s="37"/>
      <c r="E100" s="37">
        <v>0</v>
      </c>
      <c r="F100" s="37"/>
      <c r="G100" s="37">
        <v>0</v>
      </c>
      <c r="H100" s="37"/>
      <c r="I100" s="37">
        <v>0</v>
      </c>
      <c r="J100" s="37"/>
      <c r="K100" s="37">
        <v>0</v>
      </c>
      <c r="L100" s="37"/>
      <c r="M100" s="37">
        <v>0</v>
      </c>
      <c r="N100" s="37"/>
      <c r="O100" s="37">
        <v>0</v>
      </c>
      <c r="P100" s="37"/>
      <c r="Q100" s="37">
        <v>0</v>
      </c>
      <c r="R100" s="37"/>
      <c r="S100" s="37">
        <v>0</v>
      </c>
      <c r="T100" s="37"/>
      <c r="U100" s="37">
        <v>0</v>
      </c>
      <c r="V100" s="37"/>
      <c r="W100" s="37"/>
      <c r="X100" s="37"/>
      <c r="Y100" s="37">
        <v>0</v>
      </c>
      <c r="Z100" s="37"/>
      <c r="AA100" s="37">
        <v>0</v>
      </c>
      <c r="AB100" s="37"/>
      <c r="AC100" s="37">
        <v>0</v>
      </c>
      <c r="AD100" s="37"/>
      <c r="AE100" s="37">
        <v>0</v>
      </c>
      <c r="AF100" s="37"/>
      <c r="AG100" s="37">
        <v>0</v>
      </c>
      <c r="AH100" s="37"/>
      <c r="AI100" s="37">
        <v>0</v>
      </c>
      <c r="AJ100" s="37"/>
      <c r="AK100" s="37">
        <v>0</v>
      </c>
      <c r="AL100" s="37"/>
      <c r="AM100" s="37">
        <v>0</v>
      </c>
      <c r="AN100" s="37"/>
      <c r="AO100" s="37">
        <v>0</v>
      </c>
      <c r="AP100" s="37"/>
      <c r="AQ100" s="37">
        <v>0</v>
      </c>
      <c r="AR100" s="37"/>
      <c r="AS100" s="37">
        <v>0</v>
      </c>
      <c r="AT100" s="37"/>
      <c r="AU100" s="37">
        <v>0</v>
      </c>
      <c r="AV100" s="37"/>
      <c r="AW100" s="37"/>
      <c r="AX100" s="37"/>
      <c r="AY100" s="37">
        <v>0</v>
      </c>
      <c r="AZ100" s="37"/>
      <c r="BA100" s="37">
        <v>0</v>
      </c>
      <c r="BB100" s="37"/>
      <c r="BC100" s="37">
        <v>0</v>
      </c>
      <c r="BD100" s="37"/>
      <c r="BE100" s="37">
        <v>0</v>
      </c>
      <c r="BF100" s="37"/>
      <c r="BG100" s="37"/>
      <c r="BH100" s="37"/>
      <c r="BI100" s="37">
        <v>0</v>
      </c>
    </row>
    <row r="101" spans="3:30" ht="1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10"/>
      <c r="AB101" s="10"/>
      <c r="AC101" s="10"/>
      <c r="AD101" s="10"/>
    </row>
    <row r="102" spans="3:30" ht="1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10"/>
      <c r="AB102" s="10"/>
      <c r="AC102" s="10"/>
      <c r="AD102" s="10"/>
    </row>
    <row r="103" spans="3:30" ht="1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10"/>
      <c r="AB103" s="10"/>
      <c r="AC103" s="10"/>
      <c r="AD103" s="10"/>
    </row>
    <row r="104" spans="3:30" ht="1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10"/>
      <c r="AB104" s="10"/>
      <c r="AC104" s="10"/>
      <c r="AD104" s="10"/>
    </row>
    <row r="105" spans="3:30" ht="1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0"/>
      <c r="AB105" s="10"/>
      <c r="AC105" s="10"/>
      <c r="AD105" s="10"/>
    </row>
    <row r="106" spans="3:30" ht="1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0"/>
      <c r="AB106" s="10"/>
      <c r="AC106" s="10"/>
      <c r="AD106" s="10"/>
    </row>
    <row r="107" spans="3:30" ht="1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0"/>
      <c r="AB107" s="10"/>
      <c r="AC107" s="10"/>
      <c r="AD107" s="10"/>
    </row>
    <row r="108" spans="3:30" ht="1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0"/>
      <c r="AB108" s="10"/>
      <c r="AC108" s="10"/>
      <c r="AD108" s="10"/>
    </row>
    <row r="109" spans="3:30" ht="1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0"/>
      <c r="AB109" s="10"/>
      <c r="AC109" s="10"/>
      <c r="AD109" s="10"/>
    </row>
    <row r="110" spans="3:30" ht="1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0"/>
      <c r="AB110" s="10"/>
      <c r="AC110" s="10"/>
      <c r="AD110" s="10"/>
    </row>
    <row r="111" spans="3:30" ht="1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0"/>
      <c r="AB111" s="10"/>
      <c r="AC111" s="10"/>
      <c r="AD111" s="10"/>
    </row>
    <row r="112" spans="3:30" ht="1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0"/>
      <c r="AB112" s="10"/>
      <c r="AC112" s="10"/>
      <c r="AD112" s="10"/>
    </row>
    <row r="113" spans="3:30" ht="1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0"/>
      <c r="AB113" s="10"/>
      <c r="AC113" s="10"/>
      <c r="AD113" s="10"/>
    </row>
    <row r="114" spans="3:30" ht="1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0"/>
      <c r="AB114" s="10"/>
      <c r="AC114" s="10"/>
      <c r="AD114" s="10"/>
    </row>
    <row r="115" spans="3:30" ht="1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10"/>
      <c r="AB115" s="10"/>
      <c r="AC115" s="10"/>
      <c r="AD115" s="10"/>
    </row>
    <row r="116" spans="3:30" ht="1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10"/>
      <c r="AB116" s="10"/>
      <c r="AC116" s="10"/>
      <c r="AD116" s="10"/>
    </row>
    <row r="117" spans="3:30" ht="1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10"/>
      <c r="AB117" s="10"/>
      <c r="AC117" s="10"/>
      <c r="AD117" s="10"/>
    </row>
    <row r="118" spans="3:30" ht="1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10"/>
      <c r="AB118" s="10"/>
      <c r="AC118" s="10"/>
      <c r="AD118" s="10"/>
    </row>
  </sheetData>
  <mergeCells count="4">
    <mergeCell ref="AY8:BE8"/>
    <mergeCell ref="O8:S8"/>
    <mergeCell ref="A1:C1"/>
    <mergeCell ref="A2:H2"/>
  </mergeCells>
  <printOptions/>
  <pageMargins left="1" right="1" top="0.5" bottom="0.5" header="0" footer="0.25"/>
  <pageSetup firstPageNumber="30" useFirstPageNumber="1" horizontalDpi="600" verticalDpi="600" orientation="portrait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G. Wilcheck</cp:lastModifiedBy>
  <cp:lastPrinted>2004-11-30T20:58:19Z</cp:lastPrinted>
  <dcterms:created xsi:type="dcterms:W3CDTF">2002-06-04T12:17:39Z</dcterms:created>
  <dcterms:modified xsi:type="dcterms:W3CDTF">2004-11-30T20:59:04Z</dcterms:modified>
  <cp:category/>
  <cp:version/>
  <cp:contentType/>
  <cp:contentStatus/>
</cp:coreProperties>
</file>