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8145" firstSheet="5" activeTab="7"/>
  </bookViews>
  <sheets>
    <sheet name="St of Net Assets - GA" sheetId="1" r:id="rId1"/>
    <sheet name="St of Activities - GA Rev" sheetId="2" r:id="rId2"/>
    <sheet name="St of Activities - GA Exp" sheetId="3" r:id="rId3"/>
    <sheet name="Gen Fd BS" sheetId="4" r:id="rId4"/>
    <sheet name="Gov Fd BS" sheetId="5" r:id="rId5"/>
    <sheet name="GenRev" sheetId="6" r:id="rId6"/>
    <sheet name="GenExp" sheetId="7" r:id="rId7"/>
    <sheet name="Gov Fd Rv" sheetId="8" r:id="rId8"/>
    <sheet name="Gov Fnd Exp" sheetId="9" r:id="rId9"/>
    <sheet name="Water 1" sheetId="10" r:id="rId10"/>
    <sheet name="Sewer 1" sheetId="11" r:id="rId11"/>
    <sheet name="Landfill" sheetId="12" r:id="rId12"/>
    <sheet name="LT _Lia - GA" sheetId="13" r:id="rId13"/>
  </sheets>
  <definedNames>
    <definedName name="_xlnm.Print_Area" localSheetId="3">'Gen Fd BS'!$A$8:$O$99</definedName>
    <definedName name="_xlnm.Print_Area" localSheetId="6">'GenExp'!$A$9:$AC$98</definedName>
    <definedName name="_xlnm.Print_Area" localSheetId="5">'GenRev'!$A$10:$Q$100</definedName>
    <definedName name="_xlnm.Print_Area" localSheetId="4">'Gov Fd BS'!$A$1:$O$97</definedName>
    <definedName name="_xlnm.Print_Area" localSheetId="7">'Gov Fd Rv'!$A$9:$Q$99</definedName>
    <definedName name="_xlnm.Print_Area" localSheetId="8">'Gov Fnd Exp'!$A$1:$AC$97</definedName>
    <definedName name="_xlnm.Print_Area" localSheetId="11">'Landfill'!$A$1:$BG$99</definedName>
    <definedName name="_xlnm.Print_Area" localSheetId="12">'LT _Lia - GA'!$A$11:$Q$99</definedName>
    <definedName name="_xlnm.Print_Area" localSheetId="10">'Sewer 1'!$A$1:$BK$93</definedName>
    <definedName name="_xlnm.Print_Area" localSheetId="2">'St of Activities - GA Exp'!$A$1:$Y$98</definedName>
    <definedName name="_xlnm.Print_Area" localSheetId="1">'St of Activities - GA Rev'!$A$1:$Y$100</definedName>
    <definedName name="_xlnm.Print_Area" localSheetId="0">'St of Net Assets - GA'!$A$1:$W$97</definedName>
    <definedName name="_xlnm.Print_Area" localSheetId="9">'Water 1'!$A$1:$BJ$98</definedName>
    <definedName name="_xlnm.Print_Titles" localSheetId="3">'Gen Fd BS'!$1:$8</definedName>
    <definedName name="_xlnm.Print_Titles" localSheetId="6">'GenExp'!$1:$7</definedName>
    <definedName name="_xlnm.Print_Titles" localSheetId="5">'GenRev'!$1:$8</definedName>
    <definedName name="_xlnm.Print_Titles" localSheetId="4">'Gov Fd BS'!$1:$9</definedName>
    <definedName name="_xlnm.Print_Titles" localSheetId="7">'Gov Fd Rv'!$1:$7</definedName>
    <definedName name="_xlnm.Print_Titles" localSheetId="8">'Gov Fnd Exp'!$1:$7</definedName>
    <definedName name="_xlnm.Print_Titles" localSheetId="12">'LT _Lia - GA'!$1:$9</definedName>
    <definedName name="_xlnm.Print_Titles" localSheetId="10">'Sewer 1'!$1:$8</definedName>
    <definedName name="_xlnm.Print_Titles" localSheetId="2">'St of Activities - GA Exp'!$1:$8</definedName>
    <definedName name="_xlnm.Print_Titles" localSheetId="1">'St of Activities - GA Rev'!$1:$8</definedName>
    <definedName name="_xlnm.Print_Titles" localSheetId="0">'St of Net Assets - GA'!$1:$8</definedName>
    <definedName name="_xlnm.Print_Titles" localSheetId="9">'Water 1'!$1:$9</definedName>
  </definedNames>
  <calcPr fullCalcOnLoad="1"/>
</workbook>
</file>

<file path=xl/sharedStrings.xml><?xml version="1.0" encoding="utf-8"?>
<sst xmlns="http://schemas.openxmlformats.org/spreadsheetml/2006/main" count="2211" uniqueCount="264">
  <si>
    <t>Charges for</t>
  </si>
  <si>
    <t>Inter-</t>
  </si>
  <si>
    <t>Special</t>
  </si>
  <si>
    <t>All Other</t>
  </si>
  <si>
    <t>Total</t>
  </si>
  <si>
    <t>County</t>
  </si>
  <si>
    <t>Taxes</t>
  </si>
  <si>
    <t>Tax</t>
  </si>
  <si>
    <t>Services</t>
  </si>
  <si>
    <t>governmental</t>
  </si>
  <si>
    <t>Assessments</t>
  </si>
  <si>
    <t>Revenue</t>
  </si>
  <si>
    <t>Revenues</t>
  </si>
  <si>
    <t>Allen</t>
  </si>
  <si>
    <t>Ashland</t>
  </si>
  <si>
    <t>Ashtabula</t>
  </si>
  <si>
    <t>Athens</t>
  </si>
  <si>
    <t>Auglaize</t>
  </si>
  <si>
    <t>Belmont</t>
  </si>
  <si>
    <t>Bulter</t>
  </si>
  <si>
    <t>Carroll</t>
  </si>
  <si>
    <t>Clark</t>
  </si>
  <si>
    <t>Clinton</t>
  </si>
  <si>
    <t>Columbiana (cash)</t>
  </si>
  <si>
    <t>Coshocton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</si>
  <si>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</si>
  <si>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</si>
  <si>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</si>
  <si>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</si>
  <si>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</si>
  <si>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</si>
  <si>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</si>
  <si>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</si>
  <si>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</si>
  <si>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</si>
  <si>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</si>
  <si>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Guernsey</t>
  </si>
  <si>
    <t>Hamilton</t>
  </si>
  <si>
    <t>Hancock</t>
  </si>
  <si>
    <t>Harrison (cash)</t>
  </si>
  <si>
    <t>Henry</t>
  </si>
  <si>
    <t>Highland (cash)</t>
  </si>
  <si>
    <t>Hocking</t>
  </si>
  <si>
    <t>Holmes</t>
  </si>
  <si>
    <t>Huron</t>
  </si>
  <si>
    <t>Jackson</t>
  </si>
  <si>
    <t>Jefferson</t>
  </si>
  <si>
    <t>Knox</t>
  </si>
  <si>
    <t>Lake</t>
  </si>
  <si>
    <t>Licking</t>
  </si>
  <si>
    <t>Logan</t>
  </si>
  <si>
    <t>Lorain</t>
  </si>
  <si>
    <t>Madison (cash)</t>
  </si>
  <si>
    <t>Mahoning</t>
  </si>
  <si>
    <t>Marion</t>
  </si>
  <si>
    <t>Medina</t>
  </si>
  <si>
    <t>Mercer (cash)</t>
  </si>
  <si>
    <t>Miami</t>
  </si>
  <si>
    <t>Monroe</t>
  </si>
  <si>
    <t>Montgomery</t>
  </si>
  <si>
    <t>Morgan (cash)</t>
  </si>
  <si>
    <t>Muskingum</t>
  </si>
  <si>
    <t>Noble</t>
  </si>
  <si>
    <t>Ottawa</t>
  </si>
  <si>
    <t>Perry (cash)</t>
  </si>
  <si>
    <t>Pickaway</t>
  </si>
  <si>
    <t>Pike</t>
  </si>
  <si>
    <t>Portage</t>
  </si>
  <si>
    <t>Preble</t>
  </si>
  <si>
    <t>Ross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</si>
  <si>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</si>
  <si>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</si>
  <si>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</si>
  <si>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</si>
  <si>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</si>
  <si>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</si>
  <si>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</si>
  <si>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</si>
  <si>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</si>
  <si>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</si>
  <si>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</si>
  <si>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</si>
  <si>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</si>
  <si>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Wood</t>
  </si>
  <si>
    <t>Public</t>
  </si>
  <si>
    <t>Human</t>
  </si>
  <si>
    <t>Conservation</t>
  </si>
  <si>
    <t>Capital</t>
  </si>
  <si>
    <t>Judicial</t>
  </si>
  <si>
    <t>Safety</t>
  </si>
  <si>
    <t>Works</t>
  </si>
  <si>
    <t>Health</t>
  </si>
  <si>
    <t>Expenditures</t>
  </si>
  <si>
    <t>Outlay</t>
  </si>
  <si>
    <t>Principal</t>
  </si>
  <si>
    <t>Fiscal Charges</t>
  </si>
  <si>
    <t>Brown</t>
  </si>
  <si>
    <t>Morrow</t>
  </si>
  <si>
    <t>Sandusky</t>
  </si>
  <si>
    <t>Other Current</t>
  </si>
  <si>
    <t>Interest and</t>
  </si>
  <si>
    <t>Operating</t>
  </si>
  <si>
    <t>Long-Term Obligations</t>
  </si>
  <si>
    <t>General</t>
  </si>
  <si>
    <t>Mortgage and</t>
  </si>
  <si>
    <t>Other</t>
  </si>
  <si>
    <t>Net Working</t>
  </si>
  <si>
    <t>Obligation</t>
  </si>
  <si>
    <t>Long-Term</t>
  </si>
  <si>
    <t>Depreciation</t>
  </si>
  <si>
    <t>Income/Loss</t>
  </si>
  <si>
    <t>Transfers-In</t>
  </si>
  <si>
    <t>Transfers-Out</t>
  </si>
  <si>
    <t>Bonds</t>
  </si>
  <si>
    <t>Loans</t>
  </si>
  <si>
    <t>Obligations</t>
  </si>
  <si>
    <t>Assets</t>
  </si>
  <si>
    <t>Reserved</t>
  </si>
  <si>
    <t>Cash and</t>
  </si>
  <si>
    <t>Deferred</t>
  </si>
  <si>
    <t>Fund</t>
  </si>
  <si>
    <t>Investments</t>
  </si>
  <si>
    <t>Liabilities</t>
  </si>
  <si>
    <t>Balance</t>
  </si>
  <si>
    <t>All</t>
  </si>
  <si>
    <t>Compensated</t>
  </si>
  <si>
    <t>Notes</t>
  </si>
  <si>
    <t>Assessment</t>
  </si>
  <si>
    <t>Leases</t>
  </si>
  <si>
    <t>Absences</t>
  </si>
  <si>
    <t>Payables</t>
  </si>
  <si>
    <t>Payable</t>
  </si>
  <si>
    <t>Paulding (cash)</t>
  </si>
  <si>
    <t>Richland (GASB 34)</t>
  </si>
  <si>
    <t>Lucas (GASB 34)</t>
  </si>
  <si>
    <t>Current</t>
  </si>
  <si>
    <t>Wayne (GASB 34)</t>
  </si>
  <si>
    <t>Statement of Net Assets</t>
  </si>
  <si>
    <t>Net Assets</t>
  </si>
  <si>
    <t>Invested in</t>
  </si>
  <si>
    <t>Charges</t>
  </si>
  <si>
    <t>Cap Assets</t>
  </si>
  <si>
    <t>Restricted</t>
  </si>
  <si>
    <t>Unrestricted</t>
  </si>
  <si>
    <t>Program Revenues - Governmental Activities</t>
  </si>
  <si>
    <t>General Revenues</t>
  </si>
  <si>
    <t>Expenses - Governmental Activities</t>
  </si>
  <si>
    <t>Op. Grants</t>
  </si>
  <si>
    <t>Property</t>
  </si>
  <si>
    <t>Investment</t>
  </si>
  <si>
    <t>Changes in</t>
  </si>
  <si>
    <t>Contrib &amp; Int</t>
  </si>
  <si>
    <t>Grants</t>
  </si>
  <si>
    <t>Earnings</t>
  </si>
  <si>
    <t>Transfers</t>
  </si>
  <si>
    <t>Property,</t>
  </si>
  <si>
    <t>Non-Current</t>
  </si>
  <si>
    <t>Expenses Less</t>
  </si>
  <si>
    <t>Non-Operating</t>
  </si>
  <si>
    <t>Plant, &amp; Equip</t>
  </si>
  <si>
    <t>Rev/(Exp)</t>
  </si>
  <si>
    <t>Contributions</t>
  </si>
  <si>
    <t>Additions</t>
  </si>
  <si>
    <t>(Deletions)</t>
  </si>
  <si>
    <t xml:space="preserve">Other </t>
  </si>
  <si>
    <t>Community</t>
  </si>
  <si>
    <t>Development</t>
  </si>
  <si>
    <t>Sales</t>
  </si>
  <si>
    <t>Hardin (cash)</t>
  </si>
  <si>
    <t>Hardin  (cash)</t>
  </si>
  <si>
    <t>Lawrence (cash)</t>
  </si>
  <si>
    <t>Meigs (cash)</t>
  </si>
  <si>
    <t>Champaign  (cash)</t>
  </si>
  <si>
    <t>Champaign (cash)</t>
  </si>
  <si>
    <t>Williams (cash)</t>
  </si>
  <si>
    <t>Wyandot (cash)</t>
  </si>
  <si>
    <t>Putnam (cash)</t>
  </si>
  <si>
    <t>Portage(GASB34)</t>
  </si>
  <si>
    <t xml:space="preserve">Bulter </t>
  </si>
  <si>
    <t>General and</t>
  </si>
  <si>
    <t>Program Reveune</t>
  </si>
  <si>
    <t>Richland</t>
  </si>
  <si>
    <t>Crawford</t>
  </si>
  <si>
    <t>Columbiana</t>
  </si>
  <si>
    <t>Clermont</t>
  </si>
  <si>
    <t>Greene</t>
  </si>
  <si>
    <t>Lucas</t>
  </si>
  <si>
    <t>All Counties Reporting Under GAAP</t>
  </si>
  <si>
    <t>Legislative</t>
  </si>
  <si>
    <t>and Executive</t>
  </si>
  <si>
    <t xml:space="preserve">Pickaway </t>
  </si>
  <si>
    <t xml:space="preserve">Lucas </t>
  </si>
  <si>
    <t>and Recreation</t>
  </si>
  <si>
    <t>Net Income/</t>
  </si>
  <si>
    <t>Amounts Due</t>
  </si>
  <si>
    <t>within</t>
  </si>
  <si>
    <t>One Year</t>
  </si>
  <si>
    <t/>
  </si>
  <si>
    <t>Water Enterprise Fund</t>
  </si>
  <si>
    <t>Landfill Enterprise Funds</t>
  </si>
  <si>
    <t>Sewer Enterprise Fund</t>
  </si>
  <si>
    <t>Landfill Enterprise Fund</t>
  </si>
  <si>
    <t>Revenues from the Statement of Activities</t>
  </si>
  <si>
    <t>Summary Data from the General Fund Balance Sheet</t>
  </si>
  <si>
    <t>General Fund Revenues - Modified Accrual Basis of Accounting</t>
  </si>
  <si>
    <t>General Fund Expenditures - Modified Accrual Basis of Accounting</t>
  </si>
  <si>
    <t>Governmental Fund Expenditures - Modified Accrual Basis of Accounting</t>
  </si>
  <si>
    <t>Statement of Revenues, Expenses, and Changes in Net Assets/Fund Equity</t>
  </si>
  <si>
    <t>Sewer Enterprise Funds</t>
  </si>
  <si>
    <t>Governmental Fund Revenues</t>
  </si>
  <si>
    <t>Due in More</t>
  </si>
  <si>
    <t>Than 1 Year</t>
  </si>
  <si>
    <t>balanced if =0</t>
  </si>
  <si>
    <t>other</t>
  </si>
  <si>
    <t>use</t>
  </si>
  <si>
    <t xml:space="preserve">Financing </t>
  </si>
  <si>
    <t>Sources</t>
  </si>
  <si>
    <t>financing</t>
  </si>
  <si>
    <t>Fund Bal</t>
  </si>
  <si>
    <t>Beginning</t>
  </si>
  <si>
    <t>of Year</t>
  </si>
  <si>
    <t>Inc/(Dec.)</t>
  </si>
  <si>
    <t>in reserves</t>
  </si>
  <si>
    <t>for inventory</t>
  </si>
  <si>
    <t>Balanced</t>
  </si>
  <si>
    <t>if =0</t>
  </si>
  <si>
    <t xml:space="preserve">Due Within </t>
  </si>
  <si>
    <t>1 Year</t>
  </si>
  <si>
    <t>if=0</t>
  </si>
  <si>
    <t xml:space="preserve">Lawrence </t>
  </si>
  <si>
    <t xml:space="preserve">Ottawa </t>
  </si>
  <si>
    <t xml:space="preserve">  </t>
  </si>
  <si>
    <t>Water Enterprise Funds</t>
  </si>
  <si>
    <t xml:space="preserve">Greene </t>
  </si>
  <si>
    <t xml:space="preserve"> </t>
  </si>
  <si>
    <t>(continued)</t>
  </si>
  <si>
    <t>Taxes (1)</t>
  </si>
  <si>
    <t>(1) May include sales and other taxes if not presented separately</t>
  </si>
  <si>
    <t>(Expenses)</t>
  </si>
  <si>
    <t>Change in</t>
  </si>
  <si>
    <t>Net</t>
  </si>
  <si>
    <t>General Long Term Obligations</t>
  </si>
  <si>
    <t>Expenses from the Statement of Activities</t>
  </si>
  <si>
    <t>Summary Data from the Governmental Fund Balance Sheet</t>
  </si>
  <si>
    <t>Unreserved</t>
  </si>
  <si>
    <t>As of December 31, 2005</t>
  </si>
  <si>
    <t>For the Year Ended December 31, 2005</t>
  </si>
  <si>
    <t>As of December 31, 2006</t>
  </si>
  <si>
    <t>For the Year ended December 31, 2006</t>
  </si>
  <si>
    <t>For the Year Ended December 31, 2006</t>
  </si>
  <si>
    <t xml:space="preserve">Lawrence (cash) </t>
  </si>
  <si>
    <t>Adams (cash)</t>
  </si>
  <si>
    <t>Butler</t>
  </si>
  <si>
    <t>Fayette (cash)</t>
  </si>
  <si>
    <t>Brown (cash)</t>
  </si>
  <si>
    <t>Jackson (cash)</t>
  </si>
  <si>
    <t xml:space="preserve">Clermont </t>
  </si>
  <si>
    <t xml:space="preserve">Crawford </t>
  </si>
  <si>
    <t>Guernsey (cash)</t>
  </si>
  <si>
    <t>Hamilton (cash)</t>
  </si>
  <si>
    <t xml:space="preserve">Lorain </t>
  </si>
  <si>
    <t>Continued</t>
  </si>
  <si>
    <t>Statement of Fund Net Assets</t>
  </si>
  <si>
    <t>As of  December 31, 2006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</si>
</sst>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"/>
    <numFmt numFmtId="170" formatCode="#,##0.0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sz val="10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0">
    <xf numFmtId="0" fontId="0" fillId="0" borderId="0" xfId="0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2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5" fontId="5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/>
    </xf>
    <xf numFmtId="37" fontId="4" fillId="0" borderId="0" xfId="16" applyNumberFormat="1" applyFont="1" applyFill="1" applyBorder="1" applyAlignment="1">
      <alignment horizontal="right"/>
    </xf>
    <xf numFmtId="3" fontId="4" fillId="0" borderId="0" xfId="16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5" fontId="4" fillId="0" borderId="0" xfId="0" applyNumberFormat="1" applyFont="1" applyFill="1" applyAlignment="1">
      <alignment/>
    </xf>
    <xf numFmtId="5" fontId="4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37" fontId="4" fillId="0" borderId="2" xfId="0" applyNumberFormat="1" applyFont="1" applyFill="1" applyBorder="1" applyAlignment="1">
      <alignment horizontal="centerContinuous"/>
    </xf>
    <xf numFmtId="37" fontId="4" fillId="0" borderId="0" xfId="0" applyNumberFormat="1" applyFont="1" applyFill="1" applyBorder="1" applyAlignment="1">
      <alignment horizontal="centerContinuous"/>
    </xf>
    <xf numFmtId="37" fontId="4" fillId="0" borderId="0" xfId="0" applyNumberFormat="1" applyFont="1" applyFill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7" fontId="4" fillId="0" borderId="2" xfId="0" applyNumberFormat="1" applyFont="1" applyFill="1" applyBorder="1" applyAlignment="1" quotePrefix="1">
      <alignment horizontal="centerContinuous"/>
    </xf>
    <xf numFmtId="37" fontId="4" fillId="0" borderId="3" xfId="0" applyNumberFormat="1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7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Continuous"/>
    </xf>
    <xf numFmtId="3" fontId="4" fillId="0" borderId="2" xfId="0" applyNumberFormat="1" applyFont="1" applyFill="1" applyBorder="1" applyAlignment="1">
      <alignment horizontal="center"/>
    </xf>
    <xf numFmtId="37" fontId="4" fillId="0" borderId="2" xfId="0" applyNumberFormat="1" applyFont="1" applyFill="1" applyBorder="1" applyAlignment="1">
      <alignment horizontal="center"/>
    </xf>
    <xf numFmtId="5" fontId="4" fillId="0" borderId="0" xfId="16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7" fontId="0" fillId="0" borderId="0" xfId="15" applyNumberFormat="1" applyFont="1" applyFill="1" applyAlignment="1">
      <alignment/>
    </xf>
    <xf numFmtId="37" fontId="4" fillId="0" borderId="0" xfId="0" applyNumberFormat="1" applyFont="1" applyFill="1" applyAlignment="1" quotePrefix="1">
      <alignment horizontal="right"/>
    </xf>
    <xf numFmtId="3" fontId="4" fillId="0" borderId="0" xfId="16" applyNumberFormat="1" applyFont="1" applyFill="1" applyBorder="1" applyAlignment="1">
      <alignment horizontal="right"/>
    </xf>
    <xf numFmtId="3" fontId="0" fillId="0" borderId="0" xfId="16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5" fontId="4" fillId="0" borderId="0" xfId="0" applyNumberFormat="1" applyFont="1" applyFill="1" applyBorder="1" applyAlignment="1">
      <alignment horizontal="right"/>
    </xf>
    <xf numFmtId="3" fontId="4" fillId="0" borderId="0" xfId="16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 vertical="top"/>
    </xf>
    <xf numFmtId="3" fontId="4" fillId="0" borderId="0" xfId="18" applyNumberFormat="1" applyFont="1" applyFill="1" applyBorder="1" applyAlignment="1">
      <alignment/>
    </xf>
    <xf numFmtId="5" fontId="4" fillId="0" borderId="0" xfId="18" applyFont="1" applyFill="1" applyBorder="1" applyAlignment="1">
      <alignment/>
    </xf>
    <xf numFmtId="3" fontId="4" fillId="0" borderId="0" xfId="16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5" fontId="4" fillId="0" borderId="0" xfId="16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37" fontId="4" fillId="0" borderId="0" xfId="16" applyNumberFormat="1" applyFont="1" applyFill="1" applyBorder="1" applyAlignment="1">
      <alignment/>
    </xf>
    <xf numFmtId="3" fontId="5" fillId="0" borderId="0" xfId="16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" fontId="0" fillId="0" borderId="0" xfId="16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7" fontId="0" fillId="0" borderId="0" xfId="16" applyNumberFormat="1" applyFont="1" applyFill="1" applyBorder="1" applyAlignment="1">
      <alignment/>
    </xf>
    <xf numFmtId="37" fontId="0" fillId="0" borderId="0" xfId="16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4" fillId="0" borderId="0" xfId="16" applyFont="1" applyFill="1" applyBorder="1" applyAlignment="1">
      <alignment horizontal="left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7" fontId="4" fillId="0" borderId="0" xfId="16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3" fontId="10" fillId="0" borderId="0" xfId="16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Continuous"/>
    </xf>
    <xf numFmtId="3" fontId="10" fillId="0" borderId="0" xfId="16" applyFont="1" applyFill="1" applyBorder="1" applyAlignment="1">
      <alignment horizontal="left"/>
    </xf>
    <xf numFmtId="37" fontId="4" fillId="0" borderId="0" xfId="0" applyNumberFormat="1" applyFont="1" applyFill="1" applyBorder="1" applyAlignment="1" quotePrefix="1">
      <alignment horizontal="centerContinuous"/>
    </xf>
    <xf numFmtId="0" fontId="9" fillId="0" borderId="0" xfId="0" applyFont="1" applyFill="1" applyBorder="1" applyAlignment="1">
      <alignment/>
    </xf>
    <xf numFmtId="3" fontId="9" fillId="0" borderId="0" xfId="16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4" fillId="0" borderId="0" xfId="16" applyFont="1" applyFill="1" applyBorder="1" applyAlignment="1">
      <alignment horizontal="center"/>
    </xf>
    <xf numFmtId="3" fontId="0" fillId="0" borderId="0" xfId="16" applyFont="1" applyFill="1" applyBorder="1" applyAlignment="1">
      <alignment/>
    </xf>
    <xf numFmtId="3" fontId="4" fillId="0" borderId="3" xfId="16" applyFont="1" applyFill="1" applyBorder="1" applyAlignment="1">
      <alignment horizontal="center"/>
    </xf>
    <xf numFmtId="3" fontId="4" fillId="0" borderId="0" xfId="16" applyFont="1" applyFill="1" applyBorder="1" applyAlignment="1">
      <alignment horizontal="right"/>
    </xf>
    <xf numFmtId="3" fontId="0" fillId="0" borderId="0" xfId="16" applyFont="1" applyFill="1" applyBorder="1" applyAlignment="1">
      <alignment horizontal="right"/>
    </xf>
    <xf numFmtId="5" fontId="0" fillId="0" borderId="0" xfId="0" applyNumberFormat="1" applyFont="1" applyFill="1" applyAlignment="1">
      <alignment/>
    </xf>
    <xf numFmtId="5" fontId="5" fillId="0" borderId="0" xfId="0" applyNumberFormat="1" applyFont="1" applyFill="1" applyBorder="1" applyAlignment="1">
      <alignment/>
    </xf>
    <xf numFmtId="5" fontId="5" fillId="0" borderId="0" xfId="16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/>
    </xf>
    <xf numFmtId="3" fontId="10" fillId="0" borderId="0" xfId="0" applyNumberFormat="1" applyFont="1" applyFill="1" applyAlignment="1">
      <alignment horizontal="left"/>
    </xf>
    <xf numFmtId="3" fontId="4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16" applyNumberFormat="1" applyFont="1" applyFill="1" applyBorder="1" applyAlignment="1">
      <alignment horizontal="right"/>
    </xf>
    <xf numFmtId="1" fontId="4" fillId="0" borderId="0" xfId="16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169" fontId="4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169" fontId="4" fillId="0" borderId="0" xfId="16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4"/>
  <sheetViews>
    <sheetView zoomScaleSheetLayoutView="100" workbookViewId="0" topLeftCell="A1">
      <pane xSplit="1" ySplit="7" topLeftCell="B3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5.7109375" style="7" customWidth="1"/>
    <col min="2" max="2" width="1.7109375" style="7" customWidth="1"/>
    <col min="3" max="3" width="11.7109375" style="79" customWidth="1"/>
    <col min="4" max="4" width="1.7109375" style="20" customWidth="1"/>
    <col min="5" max="5" width="11.7109375" style="20" customWidth="1"/>
    <col min="6" max="6" width="1.7109375" style="20" customWidth="1"/>
    <col min="7" max="7" width="11.7109375" style="20" customWidth="1"/>
    <col min="8" max="8" width="1.7109375" style="20" customWidth="1"/>
    <col min="9" max="9" width="11.7109375" style="20" customWidth="1"/>
    <col min="10" max="10" width="1.8515625" style="20" customWidth="1"/>
    <col min="11" max="11" width="11.7109375" style="6" customWidth="1"/>
    <col min="12" max="12" width="1.7109375" style="6" customWidth="1"/>
    <col min="13" max="13" width="11.7109375" style="6" customWidth="1"/>
    <col min="14" max="14" width="1.7109375" style="6" customWidth="1"/>
    <col min="15" max="15" width="11.7109375" style="6" customWidth="1"/>
    <col min="16" max="16" width="1.7109375" style="6" customWidth="1"/>
    <col min="17" max="17" width="11.7109375" style="6" customWidth="1"/>
    <col min="18" max="18" width="1.7109375" style="6" customWidth="1"/>
    <col min="19" max="19" width="11.7109375" style="6" customWidth="1"/>
    <col min="20" max="20" width="1.7109375" style="6" customWidth="1"/>
    <col min="21" max="21" width="11.7109375" style="6" customWidth="1"/>
    <col min="22" max="22" width="1.7109375" style="6" customWidth="1"/>
    <col min="23" max="23" width="12.7109375" style="6" customWidth="1"/>
    <col min="24" max="24" width="2.7109375" style="20" customWidth="1"/>
    <col min="25" max="25" width="15.7109375" style="78" customWidth="1"/>
    <col min="26" max="16384" width="9.140625" style="7" customWidth="1"/>
  </cols>
  <sheetData>
    <row r="1" spans="1:25" ht="12.75">
      <c r="A1" s="28" t="s">
        <v>137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11"/>
    </row>
    <row r="2" spans="1:25" ht="12.75">
      <c r="A2" s="28" t="s">
        <v>247</v>
      </c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11"/>
    </row>
    <row r="3" spans="1:25" ht="12.75">
      <c r="A3" s="28" t="s">
        <v>187</v>
      </c>
      <c r="B3" s="1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11"/>
    </row>
    <row r="4" spans="1:25" ht="12.75">
      <c r="A4" s="15" t="s">
        <v>261</v>
      </c>
      <c r="B4" s="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11"/>
    </row>
    <row r="5" spans="1:25" ht="12.75">
      <c r="A5" s="28"/>
      <c r="B5" s="15"/>
      <c r="C5" s="29" t="s">
        <v>116</v>
      </c>
      <c r="D5" s="29"/>
      <c r="E5" s="29"/>
      <c r="F5" s="29"/>
      <c r="G5" s="29"/>
      <c r="H5" s="29"/>
      <c r="I5" s="29"/>
      <c r="J5" s="5"/>
      <c r="K5" s="29" t="s">
        <v>122</v>
      </c>
      <c r="L5" s="29"/>
      <c r="M5" s="29"/>
      <c r="N5" s="29"/>
      <c r="O5" s="29"/>
      <c r="P5" s="5"/>
      <c r="Q5" s="29" t="s">
        <v>138</v>
      </c>
      <c r="R5" s="29"/>
      <c r="S5" s="29"/>
      <c r="T5" s="29"/>
      <c r="U5" s="29"/>
      <c r="V5" s="29"/>
      <c r="W5" s="29"/>
      <c r="X5" s="6"/>
      <c r="Y5" s="11"/>
    </row>
    <row r="6" spans="1:25" ht="12.75">
      <c r="A6" s="8"/>
      <c r="B6" s="8"/>
      <c r="C6" s="31" t="s">
        <v>135</v>
      </c>
      <c r="D6" s="31"/>
      <c r="E6" s="31" t="s">
        <v>87</v>
      </c>
      <c r="F6" s="31"/>
      <c r="G6" s="31" t="s">
        <v>119</v>
      </c>
      <c r="H6" s="31"/>
      <c r="I6" s="31" t="s">
        <v>4</v>
      </c>
      <c r="J6" s="5"/>
      <c r="K6" s="31" t="s">
        <v>135</v>
      </c>
      <c r="L6" s="31"/>
      <c r="M6" s="31" t="s">
        <v>210</v>
      </c>
      <c r="N6" s="31"/>
      <c r="O6" s="31" t="s">
        <v>4</v>
      </c>
      <c r="P6" s="5"/>
      <c r="Q6" s="3" t="s">
        <v>139</v>
      </c>
      <c r="R6" s="3"/>
      <c r="S6" s="3"/>
      <c r="T6" s="3"/>
      <c r="U6" s="3"/>
      <c r="V6" s="3"/>
      <c r="W6" s="31" t="s">
        <v>4</v>
      </c>
      <c r="X6" s="6"/>
      <c r="Y6" s="11"/>
    </row>
    <row r="7" spans="1:25" ht="12.75">
      <c r="A7" s="39" t="s">
        <v>5</v>
      </c>
      <c r="B7" s="8"/>
      <c r="C7" s="2" t="s">
        <v>116</v>
      </c>
      <c r="D7" s="3"/>
      <c r="E7" s="2" t="s">
        <v>116</v>
      </c>
      <c r="F7" s="3"/>
      <c r="G7" s="2" t="s">
        <v>140</v>
      </c>
      <c r="H7" s="3"/>
      <c r="I7" s="2" t="s">
        <v>116</v>
      </c>
      <c r="J7" s="1"/>
      <c r="K7" s="2" t="s">
        <v>122</v>
      </c>
      <c r="L7" s="3"/>
      <c r="M7" s="2" t="s">
        <v>211</v>
      </c>
      <c r="N7" s="3"/>
      <c r="O7" s="2" t="s">
        <v>122</v>
      </c>
      <c r="P7" s="1"/>
      <c r="Q7" s="2" t="s">
        <v>141</v>
      </c>
      <c r="R7" s="3"/>
      <c r="S7" s="2" t="s">
        <v>142</v>
      </c>
      <c r="T7" s="3"/>
      <c r="U7" s="2" t="s">
        <v>143</v>
      </c>
      <c r="V7" s="3"/>
      <c r="W7" s="2" t="s">
        <v>138</v>
      </c>
      <c r="X7" s="6"/>
      <c r="Y7" s="11" t="s">
        <v>212</v>
      </c>
    </row>
    <row r="8" spans="1:25" ht="12.75">
      <c r="A8" s="8"/>
      <c r="B8" s="8"/>
      <c r="C8" s="3"/>
      <c r="D8" s="3"/>
      <c r="E8" s="3"/>
      <c r="F8" s="3"/>
      <c r="G8" s="3"/>
      <c r="H8" s="3"/>
      <c r="I8" s="3"/>
      <c r="J8" s="5"/>
      <c r="K8" s="3"/>
      <c r="L8" s="3"/>
      <c r="M8" s="3"/>
      <c r="N8" s="3"/>
      <c r="O8" s="3"/>
      <c r="P8" s="5"/>
      <c r="Q8" s="3"/>
      <c r="R8" s="3"/>
      <c r="S8" s="3"/>
      <c r="T8" s="3"/>
      <c r="U8" s="3"/>
      <c r="V8" s="3"/>
      <c r="W8" s="3"/>
      <c r="X8" s="6"/>
      <c r="Y8" s="11"/>
    </row>
    <row r="9" spans="1:25" ht="12.75" hidden="1">
      <c r="A9" s="4" t="s">
        <v>251</v>
      </c>
      <c r="B9" s="8"/>
      <c r="C9" s="26">
        <f aca="true" t="shared" si="0" ref="C9:C27">+I9-E9-G9</f>
        <v>0</v>
      </c>
      <c r="D9" s="26"/>
      <c r="E9" s="26">
        <v>0</v>
      </c>
      <c r="F9" s="26"/>
      <c r="G9" s="26">
        <v>0</v>
      </c>
      <c r="H9" s="26"/>
      <c r="I9" s="26">
        <v>0</v>
      </c>
      <c r="J9" s="26"/>
      <c r="K9" s="26">
        <f aca="true" t="shared" si="1" ref="K9:K27">+O9-M9</f>
        <v>0</v>
      </c>
      <c r="L9" s="26"/>
      <c r="M9" s="26">
        <v>0</v>
      </c>
      <c r="N9" s="26"/>
      <c r="O9" s="26">
        <v>0</v>
      </c>
      <c r="P9" s="26"/>
      <c r="Q9" s="26">
        <v>0</v>
      </c>
      <c r="R9" s="26"/>
      <c r="S9" s="26">
        <f aca="true" t="shared" si="2" ref="S9:S40">W9-U9-Q9</f>
        <v>0</v>
      </c>
      <c r="T9" s="26"/>
      <c r="U9" s="26">
        <v>0</v>
      </c>
      <c r="V9" s="26"/>
      <c r="W9" s="26">
        <v>0</v>
      </c>
      <c r="X9" s="6"/>
      <c r="Y9" s="26">
        <f aca="true" t="shared" si="3" ref="Y9:Y40">I9-O9-W9</f>
        <v>0</v>
      </c>
    </row>
    <row r="10" spans="1:25" ht="12.75">
      <c r="A10" s="4" t="s">
        <v>13</v>
      </c>
      <c r="B10" s="4"/>
      <c r="C10" s="26">
        <f>+I10-E10-G10</f>
        <v>69114324</v>
      </c>
      <c r="D10" s="26"/>
      <c r="E10" s="26">
        <f>7296200+46630578</f>
        <v>53926778</v>
      </c>
      <c r="F10" s="26"/>
      <c r="G10" s="26">
        <v>0</v>
      </c>
      <c r="H10" s="26"/>
      <c r="I10" s="26">
        <v>123041102</v>
      </c>
      <c r="J10" s="26"/>
      <c r="K10" s="26">
        <f>+O10-M10</f>
        <v>26350688</v>
      </c>
      <c r="L10" s="26"/>
      <c r="M10" s="26">
        <v>21067916</v>
      </c>
      <c r="N10" s="26"/>
      <c r="O10" s="26">
        <v>47418604</v>
      </c>
      <c r="P10" s="26"/>
      <c r="Q10" s="26">
        <v>39214615</v>
      </c>
      <c r="R10" s="26"/>
      <c r="S10" s="26">
        <f t="shared" si="2"/>
        <v>30905500</v>
      </c>
      <c r="T10" s="26"/>
      <c r="U10" s="26">
        <v>5502383</v>
      </c>
      <c r="V10" s="26"/>
      <c r="W10" s="26">
        <v>75622498</v>
      </c>
      <c r="X10" s="6"/>
      <c r="Y10" s="26">
        <f t="shared" si="3"/>
        <v>0</v>
      </c>
    </row>
    <row r="11" spans="1:25" ht="12.75">
      <c r="A11" s="4" t="s">
        <v>14</v>
      </c>
      <c r="B11" s="4"/>
      <c r="C11" s="5">
        <f t="shared" si="0"/>
        <v>28297720</v>
      </c>
      <c r="D11" s="5"/>
      <c r="E11" s="5">
        <f>982608+43905010</f>
        <v>44887618</v>
      </c>
      <c r="F11" s="5"/>
      <c r="G11" s="5">
        <v>0</v>
      </c>
      <c r="H11" s="5"/>
      <c r="I11" s="5">
        <v>73185338</v>
      </c>
      <c r="J11" s="5"/>
      <c r="K11" s="5">
        <f t="shared" si="1"/>
        <v>9284842</v>
      </c>
      <c r="L11" s="5"/>
      <c r="M11" s="5">
        <v>4544084</v>
      </c>
      <c r="N11" s="5"/>
      <c r="O11" s="5">
        <v>13828926</v>
      </c>
      <c r="P11" s="5"/>
      <c r="Q11" s="5">
        <v>40597618</v>
      </c>
      <c r="R11" s="5"/>
      <c r="S11" s="5">
        <f t="shared" si="2"/>
        <v>13888368</v>
      </c>
      <c r="T11" s="5"/>
      <c r="U11" s="5">
        <v>4870426</v>
      </c>
      <c r="V11" s="5"/>
      <c r="W11" s="5">
        <v>59356412</v>
      </c>
      <c r="X11" s="6"/>
      <c r="Y11" s="6">
        <f t="shared" si="3"/>
        <v>0</v>
      </c>
    </row>
    <row r="12" spans="1:25" ht="12.75">
      <c r="A12" s="4" t="s">
        <v>15</v>
      </c>
      <c r="B12" s="4"/>
      <c r="C12" s="5">
        <f t="shared" si="0"/>
        <v>65751326</v>
      </c>
      <c r="D12" s="5"/>
      <c r="E12" s="5">
        <f>104115360+28468355</f>
        <v>132583715</v>
      </c>
      <c r="F12" s="5"/>
      <c r="G12" s="5"/>
      <c r="H12" s="5"/>
      <c r="I12" s="5">
        <v>198335041</v>
      </c>
      <c r="J12" s="5"/>
      <c r="K12" s="5">
        <f t="shared" si="1"/>
        <v>19873756</v>
      </c>
      <c r="L12" s="5"/>
      <c r="M12" s="5">
        <v>8503310</v>
      </c>
      <c r="N12" s="5"/>
      <c r="O12" s="5">
        <v>28377066</v>
      </c>
      <c r="P12" s="5"/>
      <c r="Q12" s="5">
        <v>125603619</v>
      </c>
      <c r="R12" s="5"/>
      <c r="S12" s="5">
        <f t="shared" si="2"/>
        <v>39486627</v>
      </c>
      <c r="T12" s="5"/>
      <c r="U12" s="5">
        <v>4867729</v>
      </c>
      <c r="V12" s="5"/>
      <c r="W12" s="5">
        <v>169957975</v>
      </c>
      <c r="X12" s="6"/>
      <c r="Y12" s="6">
        <f t="shared" si="3"/>
        <v>0</v>
      </c>
    </row>
    <row r="13" spans="1:25" ht="12.75">
      <c r="A13" s="4" t="s">
        <v>16</v>
      </c>
      <c r="B13" s="4"/>
      <c r="C13" s="5">
        <f t="shared" si="0"/>
        <v>34967802</v>
      </c>
      <c r="D13" s="5"/>
      <c r="E13" s="5">
        <f>1266804+63315743</f>
        <v>64582547</v>
      </c>
      <c r="F13" s="5"/>
      <c r="G13" s="5">
        <v>0</v>
      </c>
      <c r="H13" s="5"/>
      <c r="I13" s="5">
        <v>99550349</v>
      </c>
      <c r="J13" s="5"/>
      <c r="K13" s="5">
        <f t="shared" si="1"/>
        <v>13299282</v>
      </c>
      <c r="L13" s="5"/>
      <c r="M13" s="5">
        <v>6212278</v>
      </c>
      <c r="N13" s="5"/>
      <c r="O13" s="5">
        <v>19511560</v>
      </c>
      <c r="P13" s="5"/>
      <c r="Q13" s="5">
        <v>61714409</v>
      </c>
      <c r="R13" s="5"/>
      <c r="S13" s="5">
        <f t="shared" si="2"/>
        <v>18704077</v>
      </c>
      <c r="T13" s="5"/>
      <c r="U13" s="5">
        <v>-379697</v>
      </c>
      <c r="V13" s="5"/>
      <c r="W13" s="5">
        <v>80038789</v>
      </c>
      <c r="X13" s="6"/>
      <c r="Y13" s="6">
        <f t="shared" si="3"/>
        <v>0</v>
      </c>
    </row>
    <row r="14" spans="1:25" ht="12.75">
      <c r="A14" s="4" t="s">
        <v>17</v>
      </c>
      <c r="B14" s="4"/>
      <c r="C14" s="5">
        <f t="shared" si="0"/>
        <v>32431513</v>
      </c>
      <c r="D14" s="5"/>
      <c r="E14" s="5">
        <f>32870017+19691423</f>
        <v>52561440</v>
      </c>
      <c r="F14" s="5"/>
      <c r="G14" s="5">
        <v>0</v>
      </c>
      <c r="H14" s="5"/>
      <c r="I14" s="5">
        <v>84992953</v>
      </c>
      <c r="J14" s="5"/>
      <c r="K14" s="5">
        <f t="shared" si="1"/>
        <v>9020070</v>
      </c>
      <c r="L14" s="5"/>
      <c r="M14" s="5">
        <v>2762565</v>
      </c>
      <c r="N14" s="5"/>
      <c r="O14" s="5">
        <v>11782635</v>
      </c>
      <c r="P14" s="5"/>
      <c r="Q14" s="5">
        <v>52151442</v>
      </c>
      <c r="R14" s="5"/>
      <c r="S14" s="5">
        <f t="shared" si="2"/>
        <v>16969406</v>
      </c>
      <c r="T14" s="5"/>
      <c r="U14" s="5">
        <v>4089470</v>
      </c>
      <c r="V14" s="5"/>
      <c r="W14" s="5">
        <v>73210318</v>
      </c>
      <c r="X14" s="6"/>
      <c r="Y14" s="6">
        <f t="shared" si="3"/>
        <v>0</v>
      </c>
    </row>
    <row r="15" spans="1:25" ht="12.75">
      <c r="A15" s="4" t="s">
        <v>18</v>
      </c>
      <c r="B15" s="4"/>
      <c r="C15" s="5">
        <f t="shared" si="0"/>
        <v>54404540</v>
      </c>
      <c r="D15" s="5"/>
      <c r="E15" s="5">
        <f>13766333+46662368</f>
        <v>60428701</v>
      </c>
      <c r="F15" s="5"/>
      <c r="G15" s="5">
        <v>161879</v>
      </c>
      <c r="H15" s="5"/>
      <c r="I15" s="5">
        <v>114995120</v>
      </c>
      <c r="J15" s="5"/>
      <c r="K15" s="5">
        <f t="shared" si="1"/>
        <v>14482625</v>
      </c>
      <c r="L15" s="5"/>
      <c r="M15" s="5">
        <v>11335572</v>
      </c>
      <c r="N15" s="5"/>
      <c r="O15" s="5">
        <v>25818197</v>
      </c>
      <c r="P15" s="5"/>
      <c r="Q15" s="5">
        <v>49628058</v>
      </c>
      <c r="R15" s="5"/>
      <c r="S15" s="5">
        <f t="shared" si="2"/>
        <v>27656301</v>
      </c>
      <c r="T15" s="5"/>
      <c r="U15" s="5">
        <v>11892564</v>
      </c>
      <c r="V15" s="5"/>
      <c r="W15" s="5">
        <v>89176923</v>
      </c>
      <c r="X15" s="6"/>
      <c r="Y15" s="6">
        <f t="shared" si="3"/>
        <v>0</v>
      </c>
    </row>
    <row r="16" spans="1:25" ht="12.75" hidden="1">
      <c r="A16" s="4" t="s">
        <v>254</v>
      </c>
      <c r="B16" s="4"/>
      <c r="C16" s="5">
        <f t="shared" si="0"/>
        <v>0</v>
      </c>
      <c r="D16" s="5"/>
      <c r="E16" s="5"/>
      <c r="F16" s="5"/>
      <c r="G16" s="5"/>
      <c r="H16" s="5"/>
      <c r="I16" s="5"/>
      <c r="J16" s="5"/>
      <c r="K16" s="5">
        <f t="shared" si="1"/>
        <v>0</v>
      </c>
      <c r="L16" s="5"/>
      <c r="M16" s="5"/>
      <c r="N16" s="5"/>
      <c r="O16" s="5"/>
      <c r="P16" s="5"/>
      <c r="Q16" s="5"/>
      <c r="R16" s="5"/>
      <c r="S16" s="5">
        <f t="shared" si="2"/>
        <v>0</v>
      </c>
      <c r="T16" s="5"/>
      <c r="U16" s="5"/>
      <c r="V16" s="5"/>
      <c r="W16" s="5"/>
      <c r="X16" s="6"/>
      <c r="Y16" s="6">
        <f t="shared" si="3"/>
        <v>0</v>
      </c>
    </row>
    <row r="17" spans="1:25" ht="12.75">
      <c r="A17" s="4" t="s">
        <v>252</v>
      </c>
      <c r="B17" s="4"/>
      <c r="C17" s="5">
        <f t="shared" si="0"/>
        <v>256073377</v>
      </c>
      <c r="D17" s="5"/>
      <c r="E17" s="5">
        <f>259385246+113517541</f>
        <v>372902787</v>
      </c>
      <c r="F17" s="5"/>
      <c r="G17" s="5">
        <v>0</v>
      </c>
      <c r="H17" s="5"/>
      <c r="I17" s="5">
        <v>628976164</v>
      </c>
      <c r="J17" s="5"/>
      <c r="K17" s="5">
        <f t="shared" si="1"/>
        <v>107561288</v>
      </c>
      <c r="L17" s="5"/>
      <c r="M17" s="5">
        <v>107224206</v>
      </c>
      <c r="N17" s="5"/>
      <c r="O17" s="5">
        <v>214785494</v>
      </c>
      <c r="P17" s="5"/>
      <c r="Q17" s="5">
        <v>290996712</v>
      </c>
      <c r="R17" s="5"/>
      <c r="S17" s="5">
        <f t="shared" si="2"/>
        <v>111801850</v>
      </c>
      <c r="T17" s="5"/>
      <c r="U17" s="5">
        <v>11392108</v>
      </c>
      <c r="V17" s="5"/>
      <c r="W17" s="5">
        <v>414190670</v>
      </c>
      <c r="X17" s="6"/>
      <c r="Y17" s="6">
        <f t="shared" si="3"/>
        <v>0</v>
      </c>
    </row>
    <row r="18" spans="1:25" ht="12.75">
      <c r="A18" s="4" t="s">
        <v>20</v>
      </c>
      <c r="B18" s="4"/>
      <c r="C18" s="5">
        <f t="shared" si="0"/>
        <v>14118768</v>
      </c>
      <c r="D18" s="5"/>
      <c r="E18" s="5">
        <f>1435818+8823620</f>
        <v>10259438</v>
      </c>
      <c r="F18" s="5"/>
      <c r="G18" s="5">
        <v>0</v>
      </c>
      <c r="H18" s="5"/>
      <c r="I18" s="5">
        <v>24378206</v>
      </c>
      <c r="J18" s="5"/>
      <c r="K18" s="5">
        <f t="shared" si="1"/>
        <v>5513292</v>
      </c>
      <c r="L18" s="5"/>
      <c r="M18" s="5">
        <v>1171404</v>
      </c>
      <c r="N18" s="5"/>
      <c r="O18" s="5">
        <v>6684696</v>
      </c>
      <c r="P18" s="5"/>
      <c r="Q18" s="5">
        <v>10023811</v>
      </c>
      <c r="R18" s="5"/>
      <c r="S18" s="5">
        <f t="shared" si="2"/>
        <v>5610776</v>
      </c>
      <c r="T18" s="5"/>
      <c r="U18" s="5">
        <v>2058923</v>
      </c>
      <c r="V18" s="5"/>
      <c r="W18" s="5">
        <v>17693510</v>
      </c>
      <c r="X18" s="6"/>
      <c r="Y18" s="6">
        <f t="shared" si="3"/>
        <v>0</v>
      </c>
    </row>
    <row r="19" spans="1:25" ht="12.75" hidden="1">
      <c r="A19" s="4" t="s">
        <v>172</v>
      </c>
      <c r="B19" s="4"/>
      <c r="C19" s="5">
        <f t="shared" si="0"/>
        <v>0</v>
      </c>
      <c r="D19" s="5"/>
      <c r="E19" s="5">
        <v>0</v>
      </c>
      <c r="F19" s="5"/>
      <c r="G19" s="5">
        <v>0</v>
      </c>
      <c r="H19" s="5"/>
      <c r="I19" s="5">
        <v>0</v>
      </c>
      <c r="J19" s="5"/>
      <c r="K19" s="5">
        <f t="shared" si="1"/>
        <v>0</v>
      </c>
      <c r="L19" s="5"/>
      <c r="M19" s="5">
        <v>0</v>
      </c>
      <c r="N19" s="5"/>
      <c r="O19" s="5">
        <v>0</v>
      </c>
      <c r="P19" s="5"/>
      <c r="Q19" s="5">
        <v>0</v>
      </c>
      <c r="R19" s="5"/>
      <c r="S19" s="5">
        <f t="shared" si="2"/>
        <v>0</v>
      </c>
      <c r="T19" s="5"/>
      <c r="U19" s="5">
        <v>0</v>
      </c>
      <c r="V19" s="5"/>
      <c r="W19" s="5">
        <v>0</v>
      </c>
      <c r="X19" s="6"/>
      <c r="Y19" s="6">
        <f t="shared" si="3"/>
        <v>0</v>
      </c>
    </row>
    <row r="20" spans="1:25" ht="12.75">
      <c r="A20" s="4" t="s">
        <v>21</v>
      </c>
      <c r="B20" s="4"/>
      <c r="C20" s="5">
        <f t="shared" si="0"/>
        <v>95602632</v>
      </c>
      <c r="D20" s="5"/>
      <c r="E20" s="5">
        <f>6698517+12616417+41765342</f>
        <v>61080276</v>
      </c>
      <c r="F20" s="5"/>
      <c r="G20" s="5">
        <v>0</v>
      </c>
      <c r="H20" s="5"/>
      <c r="I20" s="5">
        <v>156682908</v>
      </c>
      <c r="J20" s="5"/>
      <c r="K20" s="5">
        <f t="shared" si="1"/>
        <v>47283687</v>
      </c>
      <c r="L20" s="5"/>
      <c r="M20" s="5">
        <v>9411133</v>
      </c>
      <c r="N20" s="5"/>
      <c r="O20" s="5">
        <v>56694820</v>
      </c>
      <c r="P20" s="5"/>
      <c r="Q20" s="5">
        <v>38275797</v>
      </c>
      <c r="R20" s="5"/>
      <c r="S20" s="5">
        <f t="shared" si="2"/>
        <v>35945267</v>
      </c>
      <c r="T20" s="5"/>
      <c r="U20" s="5">
        <v>25767024</v>
      </c>
      <c r="V20" s="5"/>
      <c r="W20" s="5">
        <v>99988088</v>
      </c>
      <c r="X20" s="6"/>
      <c r="Y20" s="6">
        <f t="shared" si="3"/>
        <v>0</v>
      </c>
    </row>
    <row r="21" spans="1:25" ht="12.75">
      <c r="A21" s="4" t="s">
        <v>184</v>
      </c>
      <c r="B21" s="4"/>
      <c r="C21" s="5">
        <f t="shared" si="0"/>
        <v>113040285</v>
      </c>
      <c r="D21" s="5"/>
      <c r="E21" s="5">
        <f>5679125+13645724+135488373</f>
        <v>154813222</v>
      </c>
      <c r="F21" s="5"/>
      <c r="G21" s="5">
        <v>0</v>
      </c>
      <c r="H21" s="5"/>
      <c r="I21" s="5">
        <v>267853507</v>
      </c>
      <c r="J21" s="5"/>
      <c r="K21" s="5">
        <f t="shared" si="1"/>
        <v>34801101</v>
      </c>
      <c r="L21" s="5"/>
      <c r="M21" s="5">
        <v>27827141</v>
      </c>
      <c r="N21" s="5"/>
      <c r="O21" s="5">
        <v>62628242</v>
      </c>
      <c r="P21" s="5"/>
      <c r="Q21" s="5">
        <v>124560778</v>
      </c>
      <c r="R21" s="5"/>
      <c r="S21" s="5">
        <f t="shared" si="2"/>
        <v>46390525</v>
      </c>
      <c r="T21" s="5"/>
      <c r="U21" s="5">
        <v>34273962</v>
      </c>
      <c r="V21" s="5"/>
      <c r="W21" s="5">
        <v>205225265</v>
      </c>
      <c r="X21" s="6"/>
      <c r="Y21" s="6">
        <f t="shared" si="3"/>
        <v>0</v>
      </c>
    </row>
    <row r="22" spans="1:25" ht="12.75">
      <c r="A22" s="4" t="s">
        <v>22</v>
      </c>
      <c r="B22" s="4"/>
      <c r="C22" s="5">
        <f t="shared" si="0"/>
        <v>22163700</v>
      </c>
      <c r="D22" s="5"/>
      <c r="E22" s="5">
        <v>46784388</v>
      </c>
      <c r="F22" s="5"/>
      <c r="G22" s="5">
        <v>0</v>
      </c>
      <c r="H22" s="5"/>
      <c r="I22" s="5">
        <v>68948088</v>
      </c>
      <c r="J22" s="5"/>
      <c r="K22" s="5">
        <f t="shared" si="1"/>
        <v>9253068</v>
      </c>
      <c r="L22" s="5"/>
      <c r="M22" s="5">
        <v>13265423</v>
      </c>
      <c r="N22" s="5"/>
      <c r="O22" s="5">
        <v>22518491</v>
      </c>
      <c r="P22" s="5"/>
      <c r="Q22" s="5">
        <v>33410025</v>
      </c>
      <c r="R22" s="5"/>
      <c r="S22" s="5">
        <f t="shared" si="2"/>
        <v>10538391</v>
      </c>
      <c r="T22" s="5"/>
      <c r="U22" s="5">
        <v>2481181</v>
      </c>
      <c r="V22" s="5"/>
      <c r="W22" s="5">
        <v>46429597</v>
      </c>
      <c r="X22" s="6"/>
      <c r="Y22" s="6">
        <f t="shared" si="3"/>
        <v>0</v>
      </c>
    </row>
    <row r="23" spans="1:25" ht="12.75" hidden="1">
      <c r="A23" s="4" t="s">
        <v>23</v>
      </c>
      <c r="B23" s="4"/>
      <c r="C23" s="5">
        <f t="shared" si="0"/>
        <v>0</v>
      </c>
      <c r="D23" s="5"/>
      <c r="E23" s="5">
        <v>0</v>
      </c>
      <c r="F23" s="5"/>
      <c r="G23" s="5">
        <v>0</v>
      </c>
      <c r="H23" s="5"/>
      <c r="I23" s="5">
        <v>0</v>
      </c>
      <c r="J23" s="5"/>
      <c r="K23" s="5">
        <f t="shared" si="1"/>
        <v>0</v>
      </c>
      <c r="L23" s="5"/>
      <c r="M23" s="5">
        <v>0</v>
      </c>
      <c r="N23" s="5"/>
      <c r="O23" s="5">
        <v>0</v>
      </c>
      <c r="P23" s="5"/>
      <c r="Q23" s="5">
        <v>0</v>
      </c>
      <c r="R23" s="5"/>
      <c r="S23" s="5">
        <f t="shared" si="2"/>
        <v>0</v>
      </c>
      <c r="T23" s="5"/>
      <c r="U23" s="5">
        <v>0</v>
      </c>
      <c r="V23" s="5"/>
      <c r="W23" s="5">
        <v>0</v>
      </c>
      <c r="X23" s="6"/>
      <c r="Y23" s="6">
        <f t="shared" si="3"/>
        <v>0</v>
      </c>
    </row>
    <row r="24" spans="1:25" ht="12.75">
      <c r="A24" s="4" t="s">
        <v>24</v>
      </c>
      <c r="B24" s="4"/>
      <c r="C24" s="5">
        <f t="shared" si="0"/>
        <v>20876060</v>
      </c>
      <c r="D24" s="5"/>
      <c r="E24" s="5">
        <v>23079255</v>
      </c>
      <c r="F24" s="5"/>
      <c r="G24" s="5">
        <v>0</v>
      </c>
      <c r="H24" s="5"/>
      <c r="I24" s="5">
        <v>43955315</v>
      </c>
      <c r="J24" s="5"/>
      <c r="K24" s="5">
        <f t="shared" si="1"/>
        <v>9244758</v>
      </c>
      <c r="L24" s="5"/>
      <c r="M24" s="5">
        <v>4984634</v>
      </c>
      <c r="N24" s="5"/>
      <c r="O24" s="5">
        <v>14229392</v>
      </c>
      <c r="P24" s="5"/>
      <c r="Q24" s="5">
        <v>17333593</v>
      </c>
      <c r="R24" s="5"/>
      <c r="S24" s="5">
        <f t="shared" si="2"/>
        <v>9525459</v>
      </c>
      <c r="T24" s="5"/>
      <c r="U24" s="5">
        <v>2866871</v>
      </c>
      <c r="V24" s="5"/>
      <c r="W24" s="5">
        <v>29725923</v>
      </c>
      <c r="X24" s="6"/>
      <c r="Y24" s="6">
        <f t="shared" si="3"/>
        <v>0</v>
      </c>
    </row>
    <row r="25" spans="1:25" ht="12.75">
      <c r="A25" s="4" t="s">
        <v>257</v>
      </c>
      <c r="B25" s="4"/>
      <c r="C25" s="5">
        <f t="shared" si="0"/>
        <v>26632731</v>
      </c>
      <c r="D25" s="5"/>
      <c r="E25" s="5">
        <f>3460447+38269171</f>
        <v>41729618</v>
      </c>
      <c r="F25" s="5"/>
      <c r="G25" s="5">
        <v>0</v>
      </c>
      <c r="H25" s="5"/>
      <c r="I25" s="5">
        <v>68362349</v>
      </c>
      <c r="J25" s="5"/>
      <c r="K25" s="5">
        <f t="shared" si="1"/>
        <v>7162107</v>
      </c>
      <c r="L25" s="5"/>
      <c r="M25" s="5">
        <v>13095318</v>
      </c>
      <c r="N25" s="5"/>
      <c r="O25" s="5">
        <v>20257425</v>
      </c>
      <c r="P25" s="5"/>
      <c r="Q25" s="5">
        <v>30135784</v>
      </c>
      <c r="R25" s="5"/>
      <c r="S25" s="5">
        <f t="shared" si="2"/>
        <v>12034625</v>
      </c>
      <c r="T25" s="5"/>
      <c r="U25" s="5">
        <v>5934515</v>
      </c>
      <c r="V25" s="5"/>
      <c r="W25" s="5">
        <v>48104924</v>
      </c>
      <c r="X25" s="6"/>
      <c r="Y25" s="6">
        <f t="shared" si="3"/>
        <v>0</v>
      </c>
    </row>
    <row r="26" spans="1:25" ht="12.75">
      <c r="A26" s="4" t="s">
        <v>25</v>
      </c>
      <c r="B26" s="4"/>
      <c r="C26" s="5">
        <f t="shared" si="0"/>
        <v>969993000</v>
      </c>
      <c r="D26" s="5"/>
      <c r="E26" s="5">
        <v>644068000</v>
      </c>
      <c r="F26" s="5"/>
      <c r="G26" s="5">
        <v>0</v>
      </c>
      <c r="H26" s="5"/>
      <c r="I26" s="5">
        <v>1614061000</v>
      </c>
      <c r="J26" s="5"/>
      <c r="K26" s="5">
        <f t="shared" si="1"/>
        <v>521619000</v>
      </c>
      <c r="L26" s="5"/>
      <c r="M26" s="5">
        <v>366230000</v>
      </c>
      <c r="N26" s="5"/>
      <c r="O26" s="5">
        <v>887849000</v>
      </c>
      <c r="P26" s="5"/>
      <c r="Q26" s="5">
        <v>402928000</v>
      </c>
      <c r="R26" s="5"/>
      <c r="S26" s="5">
        <f t="shared" si="2"/>
        <v>40768000</v>
      </c>
      <c r="T26" s="5"/>
      <c r="U26" s="5">
        <v>282516000</v>
      </c>
      <c r="V26" s="5"/>
      <c r="W26" s="5">
        <v>726212000</v>
      </c>
      <c r="X26" s="6"/>
      <c r="Y26" s="6">
        <f t="shared" si="3"/>
        <v>0</v>
      </c>
    </row>
    <row r="27" spans="1:25" ht="12.75">
      <c r="A27" s="4" t="s">
        <v>26</v>
      </c>
      <c r="B27" s="4"/>
      <c r="C27" s="5">
        <f t="shared" si="0"/>
        <v>28612334</v>
      </c>
      <c r="D27" s="5"/>
      <c r="E27" s="5">
        <f>8822379+71117113</f>
        <v>79939492</v>
      </c>
      <c r="F27" s="5"/>
      <c r="G27" s="5">
        <v>0</v>
      </c>
      <c r="H27" s="5"/>
      <c r="I27" s="5">
        <v>108551826</v>
      </c>
      <c r="J27" s="5"/>
      <c r="K27" s="5">
        <f t="shared" si="1"/>
        <v>11987517</v>
      </c>
      <c r="L27" s="5"/>
      <c r="M27" s="5">
        <v>4410802</v>
      </c>
      <c r="N27" s="5"/>
      <c r="O27" s="5">
        <v>16398319</v>
      </c>
      <c r="P27" s="5"/>
      <c r="Q27" s="5">
        <v>71748445</v>
      </c>
      <c r="R27" s="5"/>
      <c r="S27" s="5">
        <f t="shared" si="2"/>
        <v>16471089</v>
      </c>
      <c r="T27" s="5"/>
      <c r="U27" s="5">
        <v>3933973</v>
      </c>
      <c r="V27" s="5"/>
      <c r="W27" s="5">
        <v>92153507</v>
      </c>
      <c r="X27" s="6"/>
      <c r="Y27" s="6">
        <f t="shared" si="3"/>
        <v>0</v>
      </c>
    </row>
    <row r="28" spans="1:25" ht="12.75">
      <c r="A28" s="4" t="s">
        <v>27</v>
      </c>
      <c r="B28" s="4"/>
      <c r="C28" s="5">
        <f aca="true" t="shared" si="4" ref="C28:C74">+I28-E28-G28</f>
        <v>39909888</v>
      </c>
      <c r="D28" s="5"/>
      <c r="E28" s="5">
        <v>54730802</v>
      </c>
      <c r="F28" s="5"/>
      <c r="G28" s="5">
        <v>0</v>
      </c>
      <c r="H28" s="5"/>
      <c r="I28" s="5">
        <v>94640690</v>
      </c>
      <c r="J28" s="5"/>
      <c r="K28" s="5">
        <f aca="true" t="shared" si="5" ref="K28:K74">+O28-M28</f>
        <v>9296256</v>
      </c>
      <c r="L28" s="5"/>
      <c r="M28" s="5">
        <v>5408407</v>
      </c>
      <c r="N28" s="5"/>
      <c r="O28" s="5">
        <v>14704663</v>
      </c>
      <c r="P28" s="5"/>
      <c r="Q28" s="5">
        <v>51025802</v>
      </c>
      <c r="R28" s="5"/>
      <c r="S28" s="5">
        <f t="shared" si="2"/>
        <v>17874357</v>
      </c>
      <c r="T28" s="5"/>
      <c r="U28" s="5">
        <v>11035868</v>
      </c>
      <c r="V28" s="5"/>
      <c r="W28" s="5">
        <v>79936027</v>
      </c>
      <c r="X28" s="6"/>
      <c r="Y28" s="6">
        <f t="shared" si="3"/>
        <v>0</v>
      </c>
    </row>
    <row r="29" spans="1:25" ht="12.75">
      <c r="A29" s="4" t="s">
        <v>28</v>
      </c>
      <c r="B29" s="4"/>
      <c r="C29" s="5">
        <f t="shared" si="4"/>
        <v>119607048</v>
      </c>
      <c r="D29" s="5"/>
      <c r="E29" s="5">
        <f>39470795+102776531</f>
        <v>142247326</v>
      </c>
      <c r="F29" s="5"/>
      <c r="G29" s="5">
        <v>0</v>
      </c>
      <c r="H29" s="5"/>
      <c r="I29" s="5">
        <v>261854374</v>
      </c>
      <c r="J29" s="5"/>
      <c r="K29" s="5">
        <f t="shared" si="5"/>
        <v>38281467</v>
      </c>
      <c r="L29" s="5"/>
      <c r="M29" s="5">
        <v>41650367</v>
      </c>
      <c r="N29" s="5"/>
      <c r="O29" s="5">
        <v>79931834</v>
      </c>
      <c r="P29" s="5"/>
      <c r="Q29" s="5">
        <v>106639713</v>
      </c>
      <c r="R29" s="5"/>
      <c r="S29" s="5">
        <f t="shared" si="2"/>
        <v>52231451</v>
      </c>
      <c r="T29" s="5"/>
      <c r="U29" s="5">
        <v>23051376</v>
      </c>
      <c r="V29" s="5"/>
      <c r="W29" s="5">
        <v>181922540</v>
      </c>
      <c r="X29" s="6"/>
      <c r="Y29" s="6">
        <f t="shared" si="3"/>
        <v>0</v>
      </c>
    </row>
    <row r="30" spans="1:25" ht="12.75">
      <c r="A30" s="4" t="s">
        <v>29</v>
      </c>
      <c r="B30" s="4"/>
      <c r="C30" s="5">
        <f t="shared" si="4"/>
        <v>47825819</v>
      </c>
      <c r="D30" s="5"/>
      <c r="E30" s="5">
        <f>65588614</f>
        <v>65588614</v>
      </c>
      <c r="F30" s="5"/>
      <c r="G30" s="5">
        <v>8837</v>
      </c>
      <c r="H30" s="5"/>
      <c r="I30" s="5">
        <v>113423270</v>
      </c>
      <c r="J30" s="5"/>
      <c r="K30" s="5">
        <f t="shared" si="5"/>
        <v>31605176</v>
      </c>
      <c r="L30" s="5"/>
      <c r="M30" s="5">
        <v>9423434</v>
      </c>
      <c r="N30" s="5"/>
      <c r="O30" s="5">
        <v>41028610</v>
      </c>
      <c r="P30" s="5"/>
      <c r="Q30" s="5">
        <v>43555669</v>
      </c>
      <c r="R30" s="5"/>
      <c r="S30" s="5">
        <f t="shared" si="2"/>
        <v>18354932</v>
      </c>
      <c r="T30" s="5"/>
      <c r="U30" s="5">
        <v>10484059</v>
      </c>
      <c r="V30" s="5"/>
      <c r="W30" s="5">
        <v>72394660</v>
      </c>
      <c r="X30" s="6"/>
      <c r="Y30" s="6">
        <f t="shared" si="3"/>
        <v>0</v>
      </c>
    </row>
    <row r="31" spans="1:25" ht="12.75">
      <c r="A31" s="4" t="s">
        <v>30</v>
      </c>
      <c r="B31" s="4"/>
      <c r="C31" s="5">
        <f t="shared" si="4"/>
        <v>87332054</v>
      </c>
      <c r="D31" s="5"/>
      <c r="E31" s="5">
        <f>5380735+179068517</f>
        <v>184449252</v>
      </c>
      <c r="F31" s="5"/>
      <c r="G31" s="5">
        <v>280967</v>
      </c>
      <c r="H31" s="5"/>
      <c r="I31" s="5">
        <v>272062273</v>
      </c>
      <c r="J31" s="5"/>
      <c r="K31" s="5">
        <f t="shared" si="5"/>
        <v>29307444</v>
      </c>
      <c r="L31" s="5"/>
      <c r="M31" s="5">
        <v>25210540</v>
      </c>
      <c r="N31" s="5"/>
      <c r="O31" s="5">
        <v>54517984</v>
      </c>
      <c r="P31" s="5"/>
      <c r="Q31" s="5">
        <v>163149653</v>
      </c>
      <c r="R31" s="5"/>
      <c r="S31" s="5">
        <f t="shared" si="2"/>
        <v>35551062</v>
      </c>
      <c r="T31" s="5"/>
      <c r="U31" s="5">
        <v>18843574</v>
      </c>
      <c r="V31" s="5"/>
      <c r="W31" s="5">
        <v>217544289</v>
      </c>
      <c r="X31" s="6"/>
      <c r="Y31" s="6">
        <f t="shared" si="3"/>
        <v>0</v>
      </c>
    </row>
    <row r="32" spans="1:25" ht="12.75" hidden="1">
      <c r="A32" s="4" t="s">
        <v>253</v>
      </c>
      <c r="B32" s="4"/>
      <c r="C32" s="5">
        <f t="shared" si="4"/>
        <v>0</v>
      </c>
      <c r="D32" s="5"/>
      <c r="E32" s="5">
        <v>0</v>
      </c>
      <c r="F32" s="5"/>
      <c r="G32" s="5">
        <v>0</v>
      </c>
      <c r="H32" s="5"/>
      <c r="I32" s="5">
        <v>0</v>
      </c>
      <c r="J32" s="5"/>
      <c r="K32" s="5">
        <f t="shared" si="5"/>
        <v>0</v>
      </c>
      <c r="L32" s="5"/>
      <c r="M32" s="5">
        <v>0</v>
      </c>
      <c r="N32" s="5"/>
      <c r="O32" s="5">
        <v>0</v>
      </c>
      <c r="P32" s="5"/>
      <c r="Q32" s="5">
        <v>0</v>
      </c>
      <c r="R32" s="5"/>
      <c r="S32" s="5">
        <f t="shared" si="2"/>
        <v>0</v>
      </c>
      <c r="T32" s="5"/>
      <c r="U32" s="5">
        <v>0</v>
      </c>
      <c r="V32" s="5"/>
      <c r="W32" s="5">
        <v>0</v>
      </c>
      <c r="X32" s="6"/>
      <c r="Y32" s="6">
        <f t="shared" si="3"/>
        <v>0</v>
      </c>
    </row>
    <row r="33" spans="1:25" ht="12.75">
      <c r="A33" s="4" t="s">
        <v>32</v>
      </c>
      <c r="B33" s="4"/>
      <c r="C33" s="5">
        <f t="shared" si="4"/>
        <v>1121144000</v>
      </c>
      <c r="D33" s="5"/>
      <c r="E33" s="5">
        <f>80790000+380694000</f>
        <v>461484000</v>
      </c>
      <c r="F33" s="5"/>
      <c r="G33" s="5">
        <v>422000</v>
      </c>
      <c r="H33" s="5"/>
      <c r="I33" s="5">
        <v>1583050000</v>
      </c>
      <c r="J33" s="5"/>
      <c r="K33" s="5">
        <f t="shared" si="5"/>
        <v>514174000</v>
      </c>
      <c r="L33" s="5"/>
      <c r="M33" s="5">
        <v>156037000</v>
      </c>
      <c r="N33" s="5"/>
      <c r="O33" s="5">
        <v>670211000</v>
      </c>
      <c r="P33" s="5"/>
      <c r="Q33" s="5">
        <v>346360000</v>
      </c>
      <c r="R33" s="5"/>
      <c r="S33" s="5">
        <f t="shared" si="2"/>
        <v>372210000</v>
      </c>
      <c r="T33" s="5"/>
      <c r="U33" s="5">
        <v>194269000</v>
      </c>
      <c r="V33" s="5"/>
      <c r="W33" s="5">
        <v>912839000</v>
      </c>
      <c r="X33" s="6"/>
      <c r="Y33" s="6">
        <f t="shared" si="3"/>
        <v>0</v>
      </c>
    </row>
    <row r="34" spans="1:25" ht="12.75">
      <c r="A34" s="4" t="s">
        <v>33</v>
      </c>
      <c r="B34" s="4"/>
      <c r="C34" s="5">
        <f t="shared" si="4"/>
        <v>35175737</v>
      </c>
      <c r="D34" s="5"/>
      <c r="E34" s="5">
        <f>954237+37770905</f>
        <v>38725142</v>
      </c>
      <c r="F34" s="5"/>
      <c r="G34" s="5">
        <v>0</v>
      </c>
      <c r="H34" s="5"/>
      <c r="I34" s="5">
        <v>73900879</v>
      </c>
      <c r="J34" s="5"/>
      <c r="K34" s="5">
        <f t="shared" si="5"/>
        <v>11651302</v>
      </c>
      <c r="L34" s="5"/>
      <c r="M34" s="5">
        <v>2208059</v>
      </c>
      <c r="N34" s="5"/>
      <c r="O34" s="5">
        <v>13859361</v>
      </c>
      <c r="P34" s="5"/>
      <c r="Q34" s="5">
        <v>38287568</v>
      </c>
      <c r="R34" s="5"/>
      <c r="S34" s="5">
        <f t="shared" si="2"/>
        <v>18291543</v>
      </c>
      <c r="T34" s="5"/>
      <c r="U34" s="5">
        <v>3462407</v>
      </c>
      <c r="V34" s="5"/>
      <c r="W34" s="5">
        <v>60041518</v>
      </c>
      <c r="X34" s="6"/>
      <c r="Y34" s="6">
        <f t="shared" si="3"/>
        <v>0</v>
      </c>
    </row>
    <row r="35" spans="1:25" ht="12.75">
      <c r="A35" s="4" t="s">
        <v>34</v>
      </c>
      <c r="B35" s="4"/>
      <c r="C35" s="5">
        <f t="shared" si="4"/>
        <v>18270423</v>
      </c>
      <c r="D35" s="5"/>
      <c r="E35" s="5">
        <f>488565+8396642</f>
        <v>8885207</v>
      </c>
      <c r="F35" s="5"/>
      <c r="G35" s="5">
        <v>0</v>
      </c>
      <c r="H35" s="5"/>
      <c r="I35" s="5">
        <v>27155630</v>
      </c>
      <c r="J35" s="5"/>
      <c r="K35" s="5">
        <f t="shared" si="5"/>
        <v>5227597</v>
      </c>
      <c r="L35" s="5"/>
      <c r="M35" s="5">
        <v>2408033</v>
      </c>
      <c r="N35" s="5"/>
      <c r="O35" s="5">
        <v>7635630</v>
      </c>
      <c r="P35" s="5"/>
      <c r="Q35" s="5">
        <v>6922421</v>
      </c>
      <c r="R35" s="5"/>
      <c r="S35" s="5">
        <f t="shared" si="2"/>
        <v>10808789</v>
      </c>
      <c r="T35" s="5"/>
      <c r="U35" s="5">
        <v>1788790</v>
      </c>
      <c r="V35" s="5"/>
      <c r="W35" s="5">
        <v>19520000</v>
      </c>
      <c r="X35" s="6"/>
      <c r="Y35" s="6">
        <f t="shared" si="3"/>
        <v>0</v>
      </c>
    </row>
    <row r="36" spans="1:25" ht="12.75">
      <c r="A36" s="4" t="s">
        <v>35</v>
      </c>
      <c r="B36" s="4"/>
      <c r="C36" s="5">
        <f t="shared" si="4"/>
        <v>78749559</v>
      </c>
      <c r="D36" s="5"/>
      <c r="E36" s="5">
        <f>110303142+41844173</f>
        <v>152147315</v>
      </c>
      <c r="F36" s="5"/>
      <c r="G36" s="5">
        <v>0</v>
      </c>
      <c r="H36" s="5"/>
      <c r="I36" s="5">
        <v>230896874</v>
      </c>
      <c r="J36" s="5"/>
      <c r="K36" s="5">
        <f t="shared" si="5"/>
        <v>36572833</v>
      </c>
      <c r="L36" s="5"/>
      <c r="M36" s="5">
        <v>5086979</v>
      </c>
      <c r="N36" s="5"/>
      <c r="O36" s="5">
        <v>41659812</v>
      </c>
      <c r="P36" s="5"/>
      <c r="Q36" s="5">
        <v>143468550</v>
      </c>
      <c r="R36" s="5"/>
      <c r="S36" s="5">
        <f t="shared" si="2"/>
        <v>34667491</v>
      </c>
      <c r="T36" s="5"/>
      <c r="U36" s="5">
        <v>11101021</v>
      </c>
      <c r="V36" s="5"/>
      <c r="W36" s="5">
        <v>189237062</v>
      </c>
      <c r="X36" s="6"/>
      <c r="Y36" s="6">
        <f t="shared" si="3"/>
        <v>0</v>
      </c>
    </row>
    <row r="37" spans="1:25" ht="12.75">
      <c r="A37" s="4" t="s">
        <v>185</v>
      </c>
      <c r="B37" s="4"/>
      <c r="C37" s="5">
        <f t="shared" si="4"/>
        <v>101245007</v>
      </c>
      <c r="D37" s="5"/>
      <c r="E37" s="5">
        <f>31536141+129697581</f>
        <v>161233722</v>
      </c>
      <c r="F37" s="5"/>
      <c r="G37" s="5">
        <v>0</v>
      </c>
      <c r="H37" s="5"/>
      <c r="I37" s="5">
        <v>262478729</v>
      </c>
      <c r="J37" s="5"/>
      <c r="K37" s="5">
        <f t="shared" si="5"/>
        <v>62684279</v>
      </c>
      <c r="L37" s="5"/>
      <c r="M37" s="5">
        <v>21128277</v>
      </c>
      <c r="N37" s="5"/>
      <c r="O37" s="5">
        <v>83812556</v>
      </c>
      <c r="P37" s="5"/>
      <c r="Q37" s="5">
        <v>143363963</v>
      </c>
      <c r="R37" s="5"/>
      <c r="S37" s="5">
        <f t="shared" si="2"/>
        <v>36562571</v>
      </c>
      <c r="T37" s="5"/>
      <c r="U37" s="5">
        <v>-1260361</v>
      </c>
      <c r="V37" s="5"/>
      <c r="W37" s="5">
        <v>178666173</v>
      </c>
      <c r="X37" s="6"/>
      <c r="Y37" s="6">
        <f t="shared" si="3"/>
        <v>0</v>
      </c>
    </row>
    <row r="38" spans="1:25" ht="12.75" hidden="1">
      <c r="A38" s="4" t="s">
        <v>258</v>
      </c>
      <c r="B38" s="4"/>
      <c r="C38" s="5">
        <f t="shared" si="4"/>
        <v>0</v>
      </c>
      <c r="D38" s="5"/>
      <c r="E38" s="5"/>
      <c r="F38" s="5"/>
      <c r="G38" s="5"/>
      <c r="H38" s="5"/>
      <c r="I38" s="5"/>
      <c r="J38" s="5"/>
      <c r="K38" s="5">
        <f t="shared" si="5"/>
        <v>0</v>
      </c>
      <c r="L38" s="5"/>
      <c r="M38" s="5"/>
      <c r="N38" s="5"/>
      <c r="O38" s="5"/>
      <c r="P38" s="5"/>
      <c r="Q38" s="5"/>
      <c r="R38" s="5"/>
      <c r="S38" s="5">
        <f t="shared" si="2"/>
        <v>0</v>
      </c>
      <c r="T38" s="5"/>
      <c r="U38" s="5"/>
      <c r="V38" s="5"/>
      <c r="W38" s="5"/>
      <c r="X38" s="6"/>
      <c r="Y38" s="6">
        <f t="shared" si="3"/>
        <v>0</v>
      </c>
    </row>
    <row r="39" spans="1:25" ht="12.75" hidden="1">
      <c r="A39" s="4" t="s">
        <v>259</v>
      </c>
      <c r="B39" s="4"/>
      <c r="C39" s="5">
        <f t="shared" si="4"/>
        <v>0</v>
      </c>
      <c r="D39" s="5"/>
      <c r="E39" s="5">
        <v>0</v>
      </c>
      <c r="F39" s="5"/>
      <c r="G39" s="5">
        <v>0</v>
      </c>
      <c r="H39" s="5"/>
      <c r="I39" s="5">
        <v>0</v>
      </c>
      <c r="J39" s="5"/>
      <c r="K39" s="5">
        <f t="shared" si="5"/>
        <v>0</v>
      </c>
      <c r="L39" s="5"/>
      <c r="M39" s="5">
        <v>0</v>
      </c>
      <c r="N39" s="5"/>
      <c r="O39" s="5">
        <v>0</v>
      </c>
      <c r="P39" s="5"/>
      <c r="Q39" s="5">
        <v>0</v>
      </c>
      <c r="R39" s="5"/>
      <c r="S39" s="5">
        <f t="shared" si="2"/>
        <v>0</v>
      </c>
      <c r="T39" s="5"/>
      <c r="U39" s="5">
        <v>0</v>
      </c>
      <c r="V39" s="5"/>
      <c r="W39" s="5">
        <v>0</v>
      </c>
      <c r="X39" s="6"/>
      <c r="Y39" s="6">
        <f t="shared" si="3"/>
        <v>0</v>
      </c>
    </row>
    <row r="40" spans="1:25" ht="12.75">
      <c r="A40" s="4" t="s">
        <v>38</v>
      </c>
      <c r="B40" s="4"/>
      <c r="C40" s="5">
        <f t="shared" si="4"/>
        <v>44557430</v>
      </c>
      <c r="D40" s="5"/>
      <c r="E40" s="5">
        <f>25547322+57245254</f>
        <v>82792576</v>
      </c>
      <c r="F40" s="5"/>
      <c r="G40" s="5">
        <v>0</v>
      </c>
      <c r="H40" s="5"/>
      <c r="I40" s="5">
        <v>127350006</v>
      </c>
      <c r="J40" s="5"/>
      <c r="K40" s="5">
        <f t="shared" si="5"/>
        <v>20013534</v>
      </c>
      <c r="L40" s="5"/>
      <c r="M40" s="5">
        <v>12191591</v>
      </c>
      <c r="N40" s="5"/>
      <c r="O40" s="5">
        <v>32205125</v>
      </c>
      <c r="P40" s="5"/>
      <c r="Q40" s="5">
        <v>75477568</v>
      </c>
      <c r="R40" s="5"/>
      <c r="S40" s="5">
        <f t="shared" si="2"/>
        <v>17744030</v>
      </c>
      <c r="T40" s="5"/>
      <c r="U40" s="5">
        <v>1923283</v>
      </c>
      <c r="V40" s="5"/>
      <c r="W40" s="5">
        <v>95144881</v>
      </c>
      <c r="X40" s="6"/>
      <c r="Y40" s="6">
        <f t="shared" si="3"/>
        <v>0</v>
      </c>
    </row>
    <row r="41" spans="1:25" ht="12.75" hidden="1">
      <c r="A41" s="4" t="s">
        <v>168</v>
      </c>
      <c r="B41" s="4"/>
      <c r="C41" s="5">
        <f t="shared" si="4"/>
        <v>0</v>
      </c>
      <c r="D41" s="5"/>
      <c r="E41" s="5">
        <v>0</v>
      </c>
      <c r="F41" s="5"/>
      <c r="G41" s="5">
        <v>0</v>
      </c>
      <c r="H41" s="5"/>
      <c r="I41" s="5">
        <v>0</v>
      </c>
      <c r="J41" s="5"/>
      <c r="K41" s="5">
        <f t="shared" si="5"/>
        <v>0</v>
      </c>
      <c r="L41" s="5"/>
      <c r="M41" s="5">
        <v>0</v>
      </c>
      <c r="N41" s="5"/>
      <c r="O41" s="5">
        <v>0</v>
      </c>
      <c r="P41" s="5"/>
      <c r="Q41" s="5">
        <v>0</v>
      </c>
      <c r="R41" s="5"/>
      <c r="S41" s="5">
        <f aca="true" t="shared" si="6" ref="S41:S77">W41-U41-Q41</f>
        <v>0</v>
      </c>
      <c r="T41" s="5"/>
      <c r="U41" s="5">
        <v>0</v>
      </c>
      <c r="V41" s="5"/>
      <c r="W41" s="5">
        <v>0</v>
      </c>
      <c r="X41" s="6"/>
      <c r="Y41" s="6">
        <f aca="true" t="shared" si="7" ref="Y41:Y77">I41-O41-W41</f>
        <v>0</v>
      </c>
    </row>
    <row r="42" spans="1:25" ht="12.75" hidden="1">
      <c r="A42" s="4" t="s">
        <v>39</v>
      </c>
      <c r="B42" s="4"/>
      <c r="C42" s="5">
        <f t="shared" si="4"/>
        <v>0</v>
      </c>
      <c r="D42" s="5"/>
      <c r="E42" s="5">
        <v>0</v>
      </c>
      <c r="F42" s="5"/>
      <c r="G42" s="5">
        <v>0</v>
      </c>
      <c r="H42" s="5"/>
      <c r="I42" s="5">
        <v>0</v>
      </c>
      <c r="J42" s="5"/>
      <c r="K42" s="5">
        <f t="shared" si="5"/>
        <v>0</v>
      </c>
      <c r="L42" s="5"/>
      <c r="M42" s="5">
        <v>0</v>
      </c>
      <c r="N42" s="5"/>
      <c r="O42" s="5">
        <v>0</v>
      </c>
      <c r="P42" s="5"/>
      <c r="Q42" s="5">
        <v>0</v>
      </c>
      <c r="R42" s="5"/>
      <c r="S42" s="5">
        <f t="shared" si="6"/>
        <v>0</v>
      </c>
      <c r="T42" s="5"/>
      <c r="U42" s="5">
        <v>0</v>
      </c>
      <c r="V42" s="5"/>
      <c r="W42" s="5">
        <v>0</v>
      </c>
      <c r="X42" s="6"/>
      <c r="Y42" s="6">
        <f t="shared" si="7"/>
        <v>0</v>
      </c>
    </row>
    <row r="43" spans="1:25" ht="12.75">
      <c r="A43" s="4" t="s">
        <v>40</v>
      </c>
      <c r="B43" s="4"/>
      <c r="C43" s="5">
        <f t="shared" si="4"/>
        <v>24984586</v>
      </c>
      <c r="D43" s="5"/>
      <c r="E43" s="5">
        <v>36388952</v>
      </c>
      <c r="F43" s="5"/>
      <c r="G43" s="5">
        <v>0</v>
      </c>
      <c r="H43" s="5"/>
      <c r="I43" s="5">
        <v>61373538</v>
      </c>
      <c r="J43" s="5"/>
      <c r="K43" s="5">
        <f t="shared" si="5"/>
        <v>10543938</v>
      </c>
      <c r="L43" s="5"/>
      <c r="M43" s="5">
        <v>1754190</v>
      </c>
      <c r="N43" s="5"/>
      <c r="O43" s="5">
        <v>12298128</v>
      </c>
      <c r="P43" s="5"/>
      <c r="Q43" s="5">
        <v>35537550</v>
      </c>
      <c r="R43" s="5"/>
      <c r="S43" s="5">
        <f t="shared" si="6"/>
        <v>13369296</v>
      </c>
      <c r="T43" s="5"/>
      <c r="U43" s="5">
        <v>168564</v>
      </c>
      <c r="V43" s="5"/>
      <c r="W43" s="5">
        <v>49075410</v>
      </c>
      <c r="X43" s="6"/>
      <c r="Y43" s="6">
        <f t="shared" si="7"/>
        <v>0</v>
      </c>
    </row>
    <row r="44" spans="1:25" ht="12.75" hidden="1">
      <c r="A44" s="4" t="s">
        <v>41</v>
      </c>
      <c r="B44" s="4"/>
      <c r="C44" s="5">
        <f t="shared" si="4"/>
        <v>0</v>
      </c>
      <c r="D44" s="5"/>
      <c r="E44" s="5">
        <v>0</v>
      </c>
      <c r="F44" s="5"/>
      <c r="G44" s="5">
        <v>0</v>
      </c>
      <c r="H44" s="5"/>
      <c r="I44" s="5">
        <v>0</v>
      </c>
      <c r="J44" s="5"/>
      <c r="K44" s="5">
        <f t="shared" si="5"/>
        <v>0</v>
      </c>
      <c r="L44" s="5"/>
      <c r="M44" s="5">
        <v>0</v>
      </c>
      <c r="N44" s="5"/>
      <c r="O44" s="5">
        <v>0</v>
      </c>
      <c r="P44" s="5"/>
      <c r="Q44" s="5">
        <v>0</v>
      </c>
      <c r="R44" s="5"/>
      <c r="S44" s="5">
        <f t="shared" si="6"/>
        <v>0</v>
      </c>
      <c r="T44" s="5"/>
      <c r="U44" s="5">
        <v>0</v>
      </c>
      <c r="V44" s="5"/>
      <c r="W44" s="5">
        <v>0</v>
      </c>
      <c r="X44" s="6"/>
      <c r="Y44" s="6">
        <f t="shared" si="7"/>
        <v>0</v>
      </c>
    </row>
    <row r="45" spans="1:25" ht="12.75">
      <c r="A45" s="4" t="s">
        <v>42</v>
      </c>
      <c r="B45" s="4"/>
      <c r="C45" s="5">
        <f t="shared" si="4"/>
        <v>19855535</v>
      </c>
      <c r="D45" s="5"/>
      <c r="E45" s="5">
        <f>700589+8189531</f>
        <v>8890120</v>
      </c>
      <c r="F45" s="5"/>
      <c r="G45" s="5">
        <v>0</v>
      </c>
      <c r="H45" s="5"/>
      <c r="I45" s="5">
        <v>28745655</v>
      </c>
      <c r="J45" s="5"/>
      <c r="K45" s="5">
        <f t="shared" si="5"/>
        <v>5821194</v>
      </c>
      <c r="L45" s="5"/>
      <c r="M45" s="5">
        <v>1596425</v>
      </c>
      <c r="N45" s="5"/>
      <c r="O45" s="5">
        <v>7417619</v>
      </c>
      <c r="P45" s="5"/>
      <c r="Q45" s="5">
        <v>7720805</v>
      </c>
      <c r="R45" s="5"/>
      <c r="S45" s="5">
        <f t="shared" si="6"/>
        <v>10886921</v>
      </c>
      <c r="T45" s="5"/>
      <c r="U45" s="5">
        <v>2720310</v>
      </c>
      <c r="V45" s="5"/>
      <c r="W45" s="5">
        <v>21328036</v>
      </c>
      <c r="X45" s="6"/>
      <c r="Y45" s="6">
        <f t="shared" si="7"/>
        <v>0</v>
      </c>
    </row>
    <row r="46" spans="1:25" ht="12.75">
      <c r="A46" s="4" t="s">
        <v>43</v>
      </c>
      <c r="B46" s="4"/>
      <c r="C46" s="5">
        <f t="shared" si="4"/>
        <v>20528015</v>
      </c>
      <c r="D46" s="5"/>
      <c r="E46" s="5">
        <v>23546782</v>
      </c>
      <c r="F46" s="5"/>
      <c r="G46" s="5">
        <v>0</v>
      </c>
      <c r="H46" s="5"/>
      <c r="I46" s="5">
        <v>44074797</v>
      </c>
      <c r="J46" s="5"/>
      <c r="K46" s="5">
        <f t="shared" si="5"/>
        <v>8303439</v>
      </c>
      <c r="L46" s="5"/>
      <c r="M46" s="5">
        <v>4402497</v>
      </c>
      <c r="N46" s="5"/>
      <c r="O46" s="5">
        <v>12705936</v>
      </c>
      <c r="P46" s="5"/>
      <c r="Q46" s="5">
        <v>19124782</v>
      </c>
      <c r="R46" s="5"/>
      <c r="S46" s="5">
        <f t="shared" si="6"/>
        <v>10309360</v>
      </c>
      <c r="T46" s="5"/>
      <c r="U46" s="5">
        <v>1934719</v>
      </c>
      <c r="V46" s="5"/>
      <c r="W46" s="5">
        <v>31368861</v>
      </c>
      <c r="X46" s="6"/>
      <c r="Y46" s="6">
        <f t="shared" si="7"/>
        <v>0</v>
      </c>
    </row>
    <row r="47" spans="1:25" ht="12.75">
      <c r="A47" s="4" t="s">
        <v>44</v>
      </c>
      <c r="B47" s="4"/>
      <c r="C47" s="5">
        <f t="shared" si="4"/>
        <v>23062578</v>
      </c>
      <c r="D47" s="5"/>
      <c r="E47" s="5">
        <f>1500905+34919894</f>
        <v>36420799</v>
      </c>
      <c r="F47" s="5"/>
      <c r="G47" s="5">
        <v>0</v>
      </c>
      <c r="H47" s="5"/>
      <c r="I47" s="5">
        <v>59483377</v>
      </c>
      <c r="J47" s="5"/>
      <c r="K47" s="5">
        <f t="shared" si="5"/>
        <v>7477125</v>
      </c>
      <c r="L47" s="5"/>
      <c r="M47" s="5">
        <v>8735041</v>
      </c>
      <c r="N47" s="5"/>
      <c r="O47" s="5">
        <v>16212166</v>
      </c>
      <c r="P47" s="5"/>
      <c r="Q47" s="5">
        <v>28885104</v>
      </c>
      <c r="R47" s="5"/>
      <c r="S47" s="5">
        <f t="shared" si="6"/>
        <v>10783184</v>
      </c>
      <c r="T47" s="5"/>
      <c r="U47" s="5">
        <v>3602923</v>
      </c>
      <c r="V47" s="5"/>
      <c r="W47" s="5">
        <v>43271211</v>
      </c>
      <c r="X47" s="6"/>
      <c r="Y47" s="6">
        <f t="shared" si="7"/>
        <v>0</v>
      </c>
    </row>
    <row r="48" spans="1:25" ht="12.75" hidden="1">
      <c r="A48" s="4" t="s">
        <v>255</v>
      </c>
      <c r="B48" s="4"/>
      <c r="C48" s="5">
        <f t="shared" si="4"/>
        <v>0</v>
      </c>
      <c r="D48" s="5"/>
      <c r="E48" s="5"/>
      <c r="F48" s="5"/>
      <c r="G48" s="5"/>
      <c r="H48" s="5"/>
      <c r="I48" s="5"/>
      <c r="J48" s="5"/>
      <c r="K48" s="5">
        <f t="shared" si="5"/>
        <v>0</v>
      </c>
      <c r="L48" s="5"/>
      <c r="M48" s="5"/>
      <c r="N48" s="5"/>
      <c r="O48" s="5"/>
      <c r="P48" s="5"/>
      <c r="Q48" s="5"/>
      <c r="R48" s="5"/>
      <c r="S48" s="5">
        <f t="shared" si="6"/>
        <v>0</v>
      </c>
      <c r="T48" s="5"/>
      <c r="U48" s="5"/>
      <c r="V48" s="5"/>
      <c r="W48" s="5"/>
      <c r="X48" s="6"/>
      <c r="Y48" s="6">
        <f t="shared" si="7"/>
        <v>0</v>
      </c>
    </row>
    <row r="49" spans="1:25" ht="12.75">
      <c r="A49" s="4" t="s">
        <v>46</v>
      </c>
      <c r="B49" s="4"/>
      <c r="C49" s="5">
        <f t="shared" si="4"/>
        <v>45524379</v>
      </c>
      <c r="D49" s="5"/>
      <c r="E49" s="5">
        <f>5023572+87374004</f>
        <v>92397576</v>
      </c>
      <c r="F49" s="5"/>
      <c r="G49" s="5">
        <v>104325</v>
      </c>
      <c r="H49" s="5"/>
      <c r="I49" s="5">
        <v>138026280</v>
      </c>
      <c r="J49" s="5"/>
      <c r="K49" s="5">
        <f t="shared" si="5"/>
        <v>18350903</v>
      </c>
      <c r="L49" s="5"/>
      <c r="M49" s="5">
        <v>28642647</v>
      </c>
      <c r="N49" s="5"/>
      <c r="O49" s="5">
        <v>46993550</v>
      </c>
      <c r="P49" s="5"/>
      <c r="Q49" s="5">
        <v>66576876</v>
      </c>
      <c r="R49" s="5"/>
      <c r="S49" s="5">
        <f t="shared" si="6"/>
        <v>24306214</v>
      </c>
      <c r="T49" s="5"/>
      <c r="U49" s="5">
        <v>149640</v>
      </c>
      <c r="V49" s="5"/>
      <c r="W49" s="5">
        <v>91032730</v>
      </c>
      <c r="X49" s="6"/>
      <c r="Y49" s="6">
        <f t="shared" si="7"/>
        <v>0</v>
      </c>
    </row>
    <row r="50" spans="1:27" ht="12.75">
      <c r="A50" s="4" t="s">
        <v>47</v>
      </c>
      <c r="B50" s="4"/>
      <c r="C50" s="5">
        <f t="shared" si="4"/>
        <v>33241354</v>
      </c>
      <c r="D50" s="5"/>
      <c r="E50" s="5">
        <f>3511122+53311179</f>
        <v>56822301</v>
      </c>
      <c r="F50" s="5"/>
      <c r="G50" s="5">
        <v>0</v>
      </c>
      <c r="H50" s="5"/>
      <c r="I50" s="5">
        <v>90063655</v>
      </c>
      <c r="J50" s="5"/>
      <c r="K50" s="5">
        <f t="shared" si="5"/>
        <v>11018148</v>
      </c>
      <c r="L50" s="5"/>
      <c r="M50" s="5">
        <v>10188304</v>
      </c>
      <c r="N50" s="5"/>
      <c r="O50" s="5">
        <v>21206452</v>
      </c>
      <c r="P50" s="5"/>
      <c r="Q50" s="5">
        <v>46324073</v>
      </c>
      <c r="R50" s="5"/>
      <c r="S50" s="5">
        <f t="shared" si="6"/>
        <v>16861718</v>
      </c>
      <c r="T50" s="5"/>
      <c r="U50" s="5">
        <v>5671412</v>
      </c>
      <c r="V50" s="5"/>
      <c r="W50" s="5">
        <v>68857203</v>
      </c>
      <c r="X50" s="6"/>
      <c r="Y50" s="6">
        <f t="shared" si="7"/>
        <v>0</v>
      </c>
      <c r="AA50" s="7" t="s">
        <v>234</v>
      </c>
    </row>
    <row r="51" spans="1:25" ht="12.75">
      <c r="A51" s="4" t="s">
        <v>48</v>
      </c>
      <c r="B51" s="4"/>
      <c r="C51" s="5">
        <f t="shared" si="4"/>
        <v>181126383</v>
      </c>
      <c r="D51" s="5"/>
      <c r="E51" s="5">
        <f>24060340+157870382</f>
        <v>181930722</v>
      </c>
      <c r="F51" s="5"/>
      <c r="G51" s="5">
        <v>0</v>
      </c>
      <c r="H51" s="5"/>
      <c r="I51" s="5">
        <v>363057105</v>
      </c>
      <c r="J51" s="5"/>
      <c r="K51" s="5">
        <f t="shared" si="5"/>
        <v>54215723</v>
      </c>
      <c r="L51" s="5"/>
      <c r="M51" s="5">
        <v>39946563</v>
      </c>
      <c r="N51" s="5"/>
      <c r="O51" s="5">
        <v>94162286</v>
      </c>
      <c r="P51" s="5"/>
      <c r="Q51" s="5">
        <v>155288730</v>
      </c>
      <c r="R51" s="5"/>
      <c r="S51" s="5">
        <f t="shared" si="6"/>
        <v>78089481</v>
      </c>
      <c r="T51" s="5"/>
      <c r="U51" s="5">
        <v>35516608</v>
      </c>
      <c r="V51" s="5"/>
      <c r="W51" s="5">
        <v>268894819</v>
      </c>
      <c r="X51" s="6"/>
      <c r="Y51" s="6">
        <f t="shared" si="7"/>
        <v>0</v>
      </c>
    </row>
    <row r="52" spans="1:25" ht="12.75" hidden="1">
      <c r="A52" s="4" t="s">
        <v>250</v>
      </c>
      <c r="B52" s="4"/>
      <c r="C52" s="5">
        <f t="shared" si="4"/>
        <v>0</v>
      </c>
      <c r="D52" s="5"/>
      <c r="E52" s="5">
        <v>0</v>
      </c>
      <c r="F52" s="5"/>
      <c r="G52" s="5">
        <v>0</v>
      </c>
      <c r="H52" s="5"/>
      <c r="I52" s="5">
        <v>0</v>
      </c>
      <c r="J52" s="5"/>
      <c r="K52" s="5">
        <f t="shared" si="5"/>
        <v>0</v>
      </c>
      <c r="L52" s="5"/>
      <c r="M52" s="5">
        <v>0</v>
      </c>
      <c r="N52" s="5"/>
      <c r="O52" s="5">
        <v>0</v>
      </c>
      <c r="P52" s="5"/>
      <c r="Q52" s="5">
        <v>0</v>
      </c>
      <c r="R52" s="5"/>
      <c r="S52" s="5">
        <f t="shared" si="6"/>
        <v>0</v>
      </c>
      <c r="T52" s="5"/>
      <c r="U52" s="5">
        <v>0</v>
      </c>
      <c r="V52" s="5"/>
      <c r="W52" s="5">
        <v>0</v>
      </c>
      <c r="X52" s="6"/>
      <c r="Y52" s="6">
        <f t="shared" si="7"/>
        <v>0</v>
      </c>
    </row>
    <row r="53" spans="1:25" ht="12.75">
      <c r="A53" s="4" t="s">
        <v>49</v>
      </c>
      <c r="B53" s="4"/>
      <c r="C53" s="5">
        <f t="shared" si="4"/>
        <v>79236339</v>
      </c>
      <c r="D53" s="5"/>
      <c r="E53" s="5">
        <f>7183598+55008923</f>
        <v>62192521</v>
      </c>
      <c r="F53" s="5"/>
      <c r="G53" s="5">
        <v>0</v>
      </c>
      <c r="H53" s="5"/>
      <c r="I53" s="5">
        <v>141428860</v>
      </c>
      <c r="J53" s="5"/>
      <c r="K53" s="5">
        <f t="shared" si="5"/>
        <v>31190737</v>
      </c>
      <c r="L53" s="5"/>
      <c r="M53" s="5">
        <v>12021008</v>
      </c>
      <c r="N53" s="5"/>
      <c r="O53" s="5">
        <v>43211745</v>
      </c>
      <c r="P53" s="5"/>
      <c r="Q53" s="5">
        <v>49800603</v>
      </c>
      <c r="R53" s="5"/>
      <c r="S53" s="5">
        <f t="shared" si="6"/>
        <v>23347063</v>
      </c>
      <c r="T53" s="5"/>
      <c r="U53" s="5">
        <v>25069449</v>
      </c>
      <c r="V53" s="5"/>
      <c r="W53" s="5">
        <v>98217115</v>
      </c>
      <c r="X53" s="6"/>
      <c r="Y53" s="6">
        <f t="shared" si="7"/>
        <v>0</v>
      </c>
    </row>
    <row r="54" spans="1:25" ht="12.75">
      <c r="A54" s="4" t="s">
        <v>50</v>
      </c>
      <c r="B54" s="4"/>
      <c r="C54" s="5">
        <f t="shared" si="4"/>
        <v>30066064</v>
      </c>
      <c r="D54" s="5"/>
      <c r="E54" s="5">
        <f>15067646+60033301</f>
        <v>75100947</v>
      </c>
      <c r="F54" s="5"/>
      <c r="G54" s="5">
        <v>0</v>
      </c>
      <c r="H54" s="5"/>
      <c r="I54" s="5">
        <v>105167011</v>
      </c>
      <c r="J54" s="5"/>
      <c r="K54" s="5">
        <f t="shared" si="5"/>
        <v>9264142</v>
      </c>
      <c r="L54" s="5"/>
      <c r="M54" s="5">
        <v>16512318</v>
      </c>
      <c r="N54" s="5"/>
      <c r="O54" s="5">
        <v>25776460</v>
      </c>
      <c r="P54" s="5"/>
      <c r="Q54" s="5">
        <v>58450947</v>
      </c>
      <c r="R54" s="5"/>
      <c r="S54" s="5">
        <f t="shared" si="6"/>
        <v>1799793</v>
      </c>
      <c r="T54" s="5"/>
      <c r="U54" s="5">
        <v>19139811</v>
      </c>
      <c r="V54" s="5"/>
      <c r="W54" s="5">
        <v>79390551</v>
      </c>
      <c r="X54" s="6"/>
      <c r="Y54" s="6">
        <f t="shared" si="7"/>
        <v>0</v>
      </c>
    </row>
    <row r="55" spans="1:25" ht="12.75">
      <c r="A55" s="4" t="s">
        <v>260</v>
      </c>
      <c r="B55" s="4"/>
      <c r="C55" s="5">
        <f t="shared" si="4"/>
        <v>220564786</v>
      </c>
      <c r="D55" s="5"/>
      <c r="E55" s="5">
        <f>12111712+129365488</f>
        <v>141477200</v>
      </c>
      <c r="F55" s="5"/>
      <c r="G55" s="5">
        <v>0</v>
      </c>
      <c r="H55" s="5"/>
      <c r="I55" s="5">
        <v>362041986</v>
      </c>
      <c r="J55" s="5"/>
      <c r="K55" s="5">
        <f t="shared" si="5"/>
        <v>31991235</v>
      </c>
      <c r="L55" s="5"/>
      <c r="M55" s="5">
        <v>41144127</v>
      </c>
      <c r="N55" s="5"/>
      <c r="O55" s="5">
        <v>73135362</v>
      </c>
      <c r="P55" s="5"/>
      <c r="Q55" s="5">
        <v>107329005</v>
      </c>
      <c r="R55" s="5"/>
      <c r="S55" s="5">
        <f t="shared" si="6"/>
        <v>13232195</v>
      </c>
      <c r="T55" s="5"/>
      <c r="U55" s="5">
        <v>168345424</v>
      </c>
      <c r="V55" s="5"/>
      <c r="W55" s="5">
        <v>288906624</v>
      </c>
      <c r="X55" s="6"/>
      <c r="Y55" s="6">
        <f t="shared" si="7"/>
        <v>0</v>
      </c>
    </row>
    <row r="56" spans="1:26" ht="12.75">
      <c r="A56" s="4" t="s">
        <v>186</v>
      </c>
      <c r="B56" s="4"/>
      <c r="C56" s="5">
        <f t="shared" si="4"/>
        <v>395505000</v>
      </c>
      <c r="D56" s="5"/>
      <c r="E56" s="5">
        <f>34125000+214280000</f>
        <v>248405000</v>
      </c>
      <c r="F56" s="5"/>
      <c r="G56" s="5">
        <v>0</v>
      </c>
      <c r="H56" s="5"/>
      <c r="I56" s="5">
        <v>643910000</v>
      </c>
      <c r="J56" s="5"/>
      <c r="K56" s="5">
        <f t="shared" si="5"/>
        <v>59928000</v>
      </c>
      <c r="L56" s="5"/>
      <c r="M56" s="5">
        <v>81433000</v>
      </c>
      <c r="N56" s="5"/>
      <c r="O56" s="5">
        <v>141361000</v>
      </c>
      <c r="P56" s="5"/>
      <c r="Q56" s="5">
        <v>154881000</v>
      </c>
      <c r="R56" s="5"/>
      <c r="S56" s="5">
        <f t="shared" si="6"/>
        <v>14946000</v>
      </c>
      <c r="T56" s="5"/>
      <c r="U56" s="5">
        <v>332722000</v>
      </c>
      <c r="V56" s="5"/>
      <c r="W56" s="5">
        <v>502549000</v>
      </c>
      <c r="X56" s="6"/>
      <c r="Y56" s="6">
        <f t="shared" si="7"/>
        <v>0</v>
      </c>
      <c r="Z56" s="7" t="s">
        <v>234</v>
      </c>
    </row>
    <row r="57" spans="1:25" ht="12.75" hidden="1">
      <c r="A57" s="4" t="s">
        <v>52</v>
      </c>
      <c r="B57" s="4"/>
      <c r="C57" s="5">
        <f t="shared" si="4"/>
        <v>0</v>
      </c>
      <c r="D57" s="5"/>
      <c r="E57" s="5"/>
      <c r="F57" s="5"/>
      <c r="G57" s="5"/>
      <c r="H57" s="5"/>
      <c r="I57" s="5"/>
      <c r="J57" s="5"/>
      <c r="K57" s="5">
        <f t="shared" si="5"/>
        <v>0</v>
      </c>
      <c r="L57" s="5"/>
      <c r="M57" s="5"/>
      <c r="N57" s="5"/>
      <c r="O57" s="5"/>
      <c r="P57" s="5"/>
      <c r="Q57" s="5"/>
      <c r="R57" s="5"/>
      <c r="S57" s="5">
        <f t="shared" si="6"/>
        <v>0</v>
      </c>
      <c r="T57" s="5"/>
      <c r="U57" s="5"/>
      <c r="V57" s="5"/>
      <c r="W57" s="5"/>
      <c r="X57" s="6"/>
      <c r="Y57" s="6">
        <f t="shared" si="7"/>
        <v>0</v>
      </c>
    </row>
    <row r="58" spans="1:26" ht="12.75">
      <c r="A58" s="4" t="s">
        <v>53</v>
      </c>
      <c r="B58" s="4"/>
      <c r="C58" s="5">
        <f t="shared" si="4"/>
        <v>145175169</v>
      </c>
      <c r="D58" s="5"/>
      <c r="E58" s="5">
        <f>4785828+138695859</f>
        <v>143481687</v>
      </c>
      <c r="F58" s="5"/>
      <c r="G58" s="5">
        <v>842321</v>
      </c>
      <c r="H58" s="5"/>
      <c r="I58" s="5">
        <v>289499177</v>
      </c>
      <c r="J58" s="5"/>
      <c r="K58" s="5">
        <f t="shared" si="5"/>
        <v>53994575</v>
      </c>
      <c r="L58" s="5"/>
      <c r="M58" s="5">
        <v>40505089</v>
      </c>
      <c r="N58" s="5"/>
      <c r="O58" s="5">
        <v>94499664</v>
      </c>
      <c r="P58" s="5"/>
      <c r="Q58" s="5">
        <v>102294065</v>
      </c>
      <c r="R58" s="5"/>
      <c r="S58" s="5">
        <f t="shared" si="6"/>
        <v>78228109</v>
      </c>
      <c r="T58" s="5"/>
      <c r="U58" s="5">
        <v>14477339</v>
      </c>
      <c r="V58" s="5"/>
      <c r="W58" s="5">
        <v>194999513</v>
      </c>
      <c r="X58" s="6"/>
      <c r="Y58" s="6">
        <f t="shared" si="7"/>
        <v>0</v>
      </c>
      <c r="Z58" s="46"/>
    </row>
    <row r="59" spans="1:25" ht="12.75">
      <c r="A59" s="4" t="s">
        <v>54</v>
      </c>
      <c r="B59" s="4"/>
      <c r="C59" s="5">
        <f t="shared" si="4"/>
        <v>40814513</v>
      </c>
      <c r="D59" s="5"/>
      <c r="E59" s="5">
        <f>10662610+45696037</f>
        <v>56358647</v>
      </c>
      <c r="F59" s="5"/>
      <c r="G59" s="5">
        <v>0</v>
      </c>
      <c r="H59" s="5"/>
      <c r="I59" s="5">
        <v>97173160</v>
      </c>
      <c r="J59" s="5"/>
      <c r="K59" s="5">
        <f t="shared" si="5"/>
        <v>14525543</v>
      </c>
      <c r="L59" s="5"/>
      <c r="M59" s="5">
        <v>9740674</v>
      </c>
      <c r="N59" s="5"/>
      <c r="O59" s="5">
        <v>24266217</v>
      </c>
      <c r="P59" s="5"/>
      <c r="Q59" s="5">
        <v>47899750</v>
      </c>
      <c r="R59" s="5"/>
      <c r="S59" s="5">
        <f t="shared" si="6"/>
        <v>21207216</v>
      </c>
      <c r="T59" s="5"/>
      <c r="U59" s="5">
        <v>3799977</v>
      </c>
      <c r="V59" s="5"/>
      <c r="W59" s="5">
        <v>72906943</v>
      </c>
      <c r="X59" s="6"/>
      <c r="Y59" s="6">
        <f t="shared" si="7"/>
        <v>0</v>
      </c>
    </row>
    <row r="60" spans="1:25" ht="12.75">
      <c r="A60" s="4" t="s">
        <v>55</v>
      </c>
      <c r="B60" s="4"/>
      <c r="C60" s="5">
        <f t="shared" si="4"/>
        <v>88770219</v>
      </c>
      <c r="D60" s="5"/>
      <c r="E60" s="5">
        <f>3281606+56277060</f>
        <v>59558666</v>
      </c>
      <c r="F60" s="5"/>
      <c r="G60" s="5">
        <v>13000</v>
      </c>
      <c r="H60" s="5"/>
      <c r="I60" s="5">
        <v>148341885</v>
      </c>
      <c r="J60" s="5"/>
      <c r="K60" s="5">
        <f t="shared" si="5"/>
        <v>33247714</v>
      </c>
      <c r="L60" s="5"/>
      <c r="M60" s="5">
        <v>14386252</v>
      </c>
      <c r="N60" s="5"/>
      <c r="O60" s="5">
        <v>47633966</v>
      </c>
      <c r="P60" s="5"/>
      <c r="Q60" s="5">
        <v>50809988</v>
      </c>
      <c r="R60" s="5"/>
      <c r="S60" s="5">
        <f t="shared" si="6"/>
        <v>41714399</v>
      </c>
      <c r="T60" s="5"/>
      <c r="U60" s="5">
        <v>8183532</v>
      </c>
      <c r="V60" s="5"/>
      <c r="W60" s="5">
        <v>100707919</v>
      </c>
      <c r="X60" s="6"/>
      <c r="Y60" s="6">
        <f t="shared" si="7"/>
        <v>0</v>
      </c>
    </row>
    <row r="61" spans="1:25" ht="12.75" hidden="1">
      <c r="A61" s="4" t="s">
        <v>171</v>
      </c>
      <c r="B61" s="4"/>
      <c r="C61" s="5">
        <f t="shared" si="4"/>
        <v>0</v>
      </c>
      <c r="D61" s="5"/>
      <c r="E61" s="5">
        <v>0</v>
      </c>
      <c r="F61" s="5"/>
      <c r="G61" s="5">
        <v>0</v>
      </c>
      <c r="H61" s="5"/>
      <c r="I61" s="5">
        <v>0</v>
      </c>
      <c r="J61" s="5"/>
      <c r="K61" s="5">
        <f t="shared" si="5"/>
        <v>0</v>
      </c>
      <c r="L61" s="5"/>
      <c r="M61" s="5">
        <v>0</v>
      </c>
      <c r="N61" s="5"/>
      <c r="O61" s="5">
        <v>0</v>
      </c>
      <c r="P61" s="5"/>
      <c r="Q61" s="5">
        <v>0</v>
      </c>
      <c r="R61" s="5"/>
      <c r="S61" s="5">
        <f t="shared" si="6"/>
        <v>0</v>
      </c>
      <c r="T61" s="5"/>
      <c r="U61" s="5">
        <v>0</v>
      </c>
      <c r="V61" s="5"/>
      <c r="W61" s="5">
        <v>0</v>
      </c>
      <c r="X61" s="6"/>
      <c r="Y61" s="6">
        <f t="shared" si="7"/>
        <v>0</v>
      </c>
    </row>
    <row r="62" spans="1:25" ht="12.75" hidden="1">
      <c r="A62" s="4" t="s">
        <v>56</v>
      </c>
      <c r="B62" s="4"/>
      <c r="C62" s="5">
        <f t="shared" si="4"/>
        <v>0</v>
      </c>
      <c r="D62" s="5"/>
      <c r="E62" s="5"/>
      <c r="F62" s="5"/>
      <c r="G62" s="5"/>
      <c r="H62" s="5"/>
      <c r="I62" s="5"/>
      <c r="J62" s="5"/>
      <c r="K62" s="5">
        <f t="shared" si="5"/>
        <v>0</v>
      </c>
      <c r="L62" s="5"/>
      <c r="M62" s="5"/>
      <c r="N62" s="5"/>
      <c r="O62" s="5"/>
      <c r="P62" s="5"/>
      <c r="Q62" s="5"/>
      <c r="R62" s="5"/>
      <c r="S62" s="5">
        <f t="shared" si="6"/>
        <v>0</v>
      </c>
      <c r="T62" s="5"/>
      <c r="U62" s="5"/>
      <c r="V62" s="5"/>
      <c r="W62" s="5"/>
      <c r="X62" s="6"/>
      <c r="Y62" s="6">
        <f t="shared" si="7"/>
        <v>0</v>
      </c>
    </row>
    <row r="63" spans="1:25" ht="12.75">
      <c r="A63" s="4" t="s">
        <v>57</v>
      </c>
      <c r="B63" s="4"/>
      <c r="C63" s="5">
        <f t="shared" si="4"/>
        <v>74142229</v>
      </c>
      <c r="D63" s="5"/>
      <c r="E63" s="5">
        <f>5517735+77218930</f>
        <v>82736665</v>
      </c>
      <c r="F63" s="5"/>
      <c r="G63" s="5">
        <v>0</v>
      </c>
      <c r="H63" s="5"/>
      <c r="I63" s="5">
        <v>156878894</v>
      </c>
      <c r="J63" s="5"/>
      <c r="K63" s="5">
        <f t="shared" si="5"/>
        <v>17538191</v>
      </c>
      <c r="L63" s="5"/>
      <c r="M63" s="5">
        <v>8705341</v>
      </c>
      <c r="N63" s="5"/>
      <c r="O63" s="5">
        <v>26243532</v>
      </c>
      <c r="P63" s="5"/>
      <c r="Q63" s="5">
        <v>76641124</v>
      </c>
      <c r="R63" s="5"/>
      <c r="S63" s="5">
        <f t="shared" si="6"/>
        <v>35965761</v>
      </c>
      <c r="T63" s="5"/>
      <c r="U63" s="5">
        <v>18028477</v>
      </c>
      <c r="V63" s="5"/>
      <c r="W63" s="5">
        <v>130635362</v>
      </c>
      <c r="X63" s="6"/>
      <c r="Y63" s="6">
        <f t="shared" si="7"/>
        <v>0</v>
      </c>
    </row>
    <row r="64" spans="1:25" ht="12.75">
      <c r="A64" s="4" t="s">
        <v>58</v>
      </c>
      <c r="B64" s="4"/>
      <c r="C64" s="5">
        <f t="shared" si="4"/>
        <v>10257516</v>
      </c>
      <c r="D64" s="5"/>
      <c r="E64" s="5">
        <f>90631+13368788</f>
        <v>13459419</v>
      </c>
      <c r="F64" s="5"/>
      <c r="G64" s="5">
        <v>0</v>
      </c>
      <c r="H64" s="5"/>
      <c r="I64" s="5">
        <v>23716935</v>
      </c>
      <c r="J64" s="5"/>
      <c r="K64" s="5">
        <f t="shared" si="5"/>
        <v>2337609</v>
      </c>
      <c r="L64" s="5"/>
      <c r="M64" s="5">
        <v>567157</v>
      </c>
      <c r="N64" s="5"/>
      <c r="O64" s="5">
        <v>2904766</v>
      </c>
      <c r="P64" s="5"/>
      <c r="Q64" s="5">
        <v>13193929</v>
      </c>
      <c r="R64" s="5"/>
      <c r="S64" s="5">
        <f t="shared" si="6"/>
        <v>7505455</v>
      </c>
      <c r="T64" s="5"/>
      <c r="U64" s="5">
        <v>112785</v>
      </c>
      <c r="V64" s="5"/>
      <c r="W64" s="5">
        <v>20812169</v>
      </c>
      <c r="X64" s="6"/>
      <c r="Y64" s="6">
        <f t="shared" si="7"/>
        <v>0</v>
      </c>
    </row>
    <row r="65" spans="1:25" ht="12.75">
      <c r="A65" s="4" t="s">
        <v>59</v>
      </c>
      <c r="B65" s="4"/>
      <c r="C65" s="5">
        <f t="shared" si="4"/>
        <v>516223941</v>
      </c>
      <c r="D65" s="5"/>
      <c r="E65" s="5">
        <f>397430416+126268705</f>
        <v>523699121</v>
      </c>
      <c r="F65" s="5"/>
      <c r="G65" s="5">
        <v>0</v>
      </c>
      <c r="H65" s="5"/>
      <c r="I65" s="5">
        <v>1039923062</v>
      </c>
      <c r="J65" s="5"/>
      <c r="K65" s="5">
        <f t="shared" si="5"/>
        <v>179626503</v>
      </c>
      <c r="L65" s="5"/>
      <c r="M65" s="5">
        <v>69247695</v>
      </c>
      <c r="N65" s="5"/>
      <c r="O65" s="5">
        <v>248874198</v>
      </c>
      <c r="P65" s="5"/>
      <c r="Q65" s="5">
        <v>475572134</v>
      </c>
      <c r="R65" s="5"/>
      <c r="S65" s="5">
        <f t="shared" si="6"/>
        <v>136647976</v>
      </c>
      <c r="T65" s="5"/>
      <c r="U65" s="5">
        <v>178828754</v>
      </c>
      <c r="V65" s="5"/>
      <c r="W65" s="5">
        <v>791048864</v>
      </c>
      <c r="X65" s="6"/>
      <c r="Y65" s="6">
        <f t="shared" si="7"/>
        <v>0</v>
      </c>
    </row>
    <row r="66" spans="1:25" ht="12.75" hidden="1">
      <c r="A66" s="4" t="s">
        <v>60</v>
      </c>
      <c r="B66" s="4"/>
      <c r="C66" s="5">
        <f t="shared" si="4"/>
        <v>0</v>
      </c>
      <c r="D66" s="5"/>
      <c r="E66" s="5"/>
      <c r="F66" s="5"/>
      <c r="G66" s="5"/>
      <c r="H66" s="5"/>
      <c r="I66" s="5"/>
      <c r="J66" s="5"/>
      <c r="K66" s="5">
        <f t="shared" si="5"/>
        <v>0</v>
      </c>
      <c r="L66" s="5"/>
      <c r="M66" s="5"/>
      <c r="N66" s="5"/>
      <c r="O66" s="5"/>
      <c r="P66" s="5"/>
      <c r="Q66" s="5"/>
      <c r="R66" s="5"/>
      <c r="S66" s="5">
        <f t="shared" si="6"/>
        <v>0</v>
      </c>
      <c r="T66" s="5"/>
      <c r="U66" s="5"/>
      <c r="V66" s="5"/>
      <c r="W66" s="5"/>
      <c r="X66" s="6"/>
      <c r="Y66" s="6">
        <f t="shared" si="7"/>
        <v>0</v>
      </c>
    </row>
    <row r="67" spans="1:25" ht="12.75">
      <c r="A67" s="4" t="s">
        <v>97</v>
      </c>
      <c r="B67" s="4"/>
      <c r="C67" s="5">
        <f t="shared" si="4"/>
        <v>17758720</v>
      </c>
      <c r="D67" s="5"/>
      <c r="E67" s="5">
        <v>29650533</v>
      </c>
      <c r="F67" s="5"/>
      <c r="G67" s="5">
        <v>0</v>
      </c>
      <c r="H67" s="5"/>
      <c r="I67" s="5">
        <v>47409253</v>
      </c>
      <c r="J67" s="5"/>
      <c r="K67" s="5">
        <f t="shared" si="5"/>
        <v>9210402</v>
      </c>
      <c r="L67" s="5"/>
      <c r="M67" s="5">
        <v>2904611</v>
      </c>
      <c r="N67" s="5"/>
      <c r="O67" s="5">
        <v>12115013</v>
      </c>
      <c r="P67" s="5"/>
      <c r="Q67" s="5">
        <v>23942311</v>
      </c>
      <c r="R67" s="5"/>
      <c r="S67" s="5">
        <f t="shared" si="6"/>
        <v>9963544</v>
      </c>
      <c r="T67" s="5"/>
      <c r="U67" s="5">
        <v>1388385</v>
      </c>
      <c r="V67" s="5"/>
      <c r="W67" s="5">
        <v>35294240</v>
      </c>
      <c r="X67" s="6"/>
      <c r="Y67" s="6">
        <f t="shared" si="7"/>
        <v>0</v>
      </c>
    </row>
    <row r="68" spans="1:25" ht="12.75">
      <c r="A68" s="4" t="s">
        <v>61</v>
      </c>
      <c r="B68" s="4"/>
      <c r="C68" s="5">
        <f t="shared" si="4"/>
        <v>64237748</v>
      </c>
      <c r="D68" s="5"/>
      <c r="E68" s="5">
        <f>38516119+65569685</f>
        <v>104085804</v>
      </c>
      <c r="F68" s="5"/>
      <c r="G68" s="5">
        <v>9731</v>
      </c>
      <c r="H68" s="5"/>
      <c r="I68" s="5">
        <v>168333283</v>
      </c>
      <c r="J68" s="5"/>
      <c r="K68" s="5">
        <f t="shared" si="5"/>
        <v>23272046</v>
      </c>
      <c r="L68" s="5"/>
      <c r="M68" s="5">
        <v>28150061</v>
      </c>
      <c r="N68" s="5"/>
      <c r="O68" s="5">
        <v>51422107</v>
      </c>
      <c r="P68" s="5"/>
      <c r="Q68" s="5">
        <v>76740170</v>
      </c>
      <c r="R68" s="5"/>
      <c r="S68" s="5">
        <f t="shared" si="6"/>
        <v>28895325</v>
      </c>
      <c r="T68" s="5"/>
      <c r="U68" s="5">
        <v>11275681</v>
      </c>
      <c r="V68" s="5"/>
      <c r="W68" s="5">
        <v>116911176</v>
      </c>
      <c r="X68" s="6"/>
      <c r="Y68" s="6">
        <f t="shared" si="7"/>
        <v>0</v>
      </c>
    </row>
    <row r="69" spans="1:25" ht="12.75">
      <c r="A69" s="4" t="s">
        <v>62</v>
      </c>
      <c r="B69" s="4"/>
      <c r="C69" s="5">
        <f t="shared" si="4"/>
        <v>7606525</v>
      </c>
      <c r="D69" s="5"/>
      <c r="E69" s="5">
        <f>13236110+10212411</f>
        <v>23448521</v>
      </c>
      <c r="F69" s="5"/>
      <c r="G69" s="5">
        <v>1665355</v>
      </c>
      <c r="H69" s="5"/>
      <c r="I69" s="5">
        <v>32720401</v>
      </c>
      <c r="J69" s="5"/>
      <c r="K69" s="5">
        <f t="shared" si="5"/>
        <v>2872903</v>
      </c>
      <c r="L69" s="5"/>
      <c r="M69" s="5">
        <v>1031790</v>
      </c>
      <c r="N69" s="5"/>
      <c r="O69" s="5">
        <v>3904693</v>
      </c>
      <c r="P69" s="5"/>
      <c r="Q69" s="5">
        <v>22534647</v>
      </c>
      <c r="R69" s="5"/>
      <c r="S69" s="5">
        <f t="shared" si="6"/>
        <v>5539234</v>
      </c>
      <c r="T69" s="5"/>
      <c r="U69" s="5">
        <v>741827</v>
      </c>
      <c r="V69" s="5"/>
      <c r="W69" s="5">
        <v>28815708</v>
      </c>
      <c r="X69" s="6"/>
      <c r="Y69" s="6">
        <f t="shared" si="7"/>
        <v>0</v>
      </c>
    </row>
    <row r="70" spans="1:25" ht="12.75">
      <c r="A70" s="4" t="s">
        <v>230</v>
      </c>
      <c r="B70" s="4"/>
      <c r="C70" s="5">
        <f t="shared" si="4"/>
        <v>60561906</v>
      </c>
      <c r="D70" s="5"/>
      <c r="E70" s="5">
        <v>34505193</v>
      </c>
      <c r="F70" s="5"/>
      <c r="G70" s="5">
        <v>0</v>
      </c>
      <c r="H70" s="5"/>
      <c r="I70" s="5">
        <v>95067099</v>
      </c>
      <c r="J70" s="5"/>
      <c r="K70" s="5">
        <f t="shared" si="5"/>
        <v>12475888</v>
      </c>
      <c r="L70" s="5"/>
      <c r="M70" s="5">
        <v>25549340</v>
      </c>
      <c r="N70" s="5"/>
      <c r="O70" s="5">
        <v>38025228</v>
      </c>
      <c r="P70" s="5"/>
      <c r="Q70" s="5">
        <v>7721713</v>
      </c>
      <c r="R70" s="5"/>
      <c r="S70" s="5">
        <f t="shared" si="6"/>
        <v>17271327</v>
      </c>
      <c r="T70" s="5"/>
      <c r="U70" s="5">
        <v>32048831</v>
      </c>
      <c r="V70" s="5"/>
      <c r="W70" s="5">
        <v>57041871</v>
      </c>
      <c r="X70" s="6"/>
      <c r="Y70" s="6">
        <f t="shared" si="7"/>
        <v>0</v>
      </c>
    </row>
    <row r="71" spans="1:25" ht="12.75" hidden="1">
      <c r="A71" s="4" t="s">
        <v>132</v>
      </c>
      <c r="B71" s="4"/>
      <c r="C71" s="5">
        <f t="shared" si="4"/>
        <v>0</v>
      </c>
      <c r="D71" s="5"/>
      <c r="E71" s="5"/>
      <c r="F71" s="5"/>
      <c r="G71" s="5"/>
      <c r="H71" s="5"/>
      <c r="I71" s="5"/>
      <c r="J71" s="5"/>
      <c r="K71" s="5">
        <f t="shared" si="5"/>
        <v>0</v>
      </c>
      <c r="L71" s="5"/>
      <c r="M71" s="5"/>
      <c r="N71" s="5"/>
      <c r="O71" s="5"/>
      <c r="P71" s="5"/>
      <c r="Q71" s="5"/>
      <c r="R71" s="5"/>
      <c r="S71" s="5">
        <f t="shared" si="6"/>
        <v>0</v>
      </c>
      <c r="T71" s="5"/>
      <c r="U71" s="5"/>
      <c r="V71" s="5"/>
      <c r="W71" s="5"/>
      <c r="X71" s="6"/>
      <c r="Y71" s="6">
        <f t="shared" si="7"/>
        <v>0</v>
      </c>
    </row>
    <row r="72" spans="1:25" ht="12.75" hidden="1">
      <c r="A72" s="4" t="s">
        <v>64</v>
      </c>
      <c r="B72" s="4"/>
      <c r="C72" s="5">
        <f t="shared" si="4"/>
        <v>0</v>
      </c>
      <c r="D72" s="5"/>
      <c r="E72" s="5"/>
      <c r="F72" s="5"/>
      <c r="G72" s="5"/>
      <c r="H72" s="5"/>
      <c r="I72" s="5"/>
      <c r="J72" s="5"/>
      <c r="K72" s="5">
        <f t="shared" si="5"/>
        <v>0</v>
      </c>
      <c r="L72" s="5"/>
      <c r="M72" s="5"/>
      <c r="N72" s="5"/>
      <c r="O72" s="5"/>
      <c r="P72" s="5"/>
      <c r="Q72" s="5"/>
      <c r="R72" s="5"/>
      <c r="S72" s="5">
        <f t="shared" si="6"/>
        <v>0</v>
      </c>
      <c r="T72" s="5"/>
      <c r="U72" s="5"/>
      <c r="V72" s="5"/>
      <c r="W72" s="5"/>
      <c r="X72" s="6"/>
      <c r="Y72" s="6">
        <f t="shared" si="7"/>
        <v>0</v>
      </c>
    </row>
    <row r="73" spans="1:25" ht="12.75">
      <c r="A73" s="4" t="s">
        <v>190</v>
      </c>
      <c r="B73" s="4"/>
      <c r="C73" s="5">
        <f t="shared" si="4"/>
        <v>24105885</v>
      </c>
      <c r="D73" s="5"/>
      <c r="E73" s="5">
        <f>1036375+26147217</f>
        <v>27183592</v>
      </c>
      <c r="F73" s="5"/>
      <c r="G73" s="5">
        <v>0</v>
      </c>
      <c r="H73" s="5"/>
      <c r="I73" s="5">
        <v>51289477</v>
      </c>
      <c r="J73" s="5"/>
      <c r="K73" s="5">
        <f t="shared" si="5"/>
        <v>10105295</v>
      </c>
      <c r="L73" s="5"/>
      <c r="M73" s="5">
        <v>1704290</v>
      </c>
      <c r="N73" s="5"/>
      <c r="O73" s="5">
        <v>11809585</v>
      </c>
      <c r="P73" s="5"/>
      <c r="Q73" s="5">
        <v>27916917</v>
      </c>
      <c r="R73" s="5"/>
      <c r="S73" s="5">
        <f t="shared" si="6"/>
        <v>9808759</v>
      </c>
      <c r="T73" s="5"/>
      <c r="U73" s="5">
        <v>1754216</v>
      </c>
      <c r="V73" s="5"/>
      <c r="W73" s="5">
        <v>39479892</v>
      </c>
      <c r="X73" s="6"/>
      <c r="Y73" s="6">
        <f t="shared" si="7"/>
        <v>0</v>
      </c>
    </row>
    <row r="74" spans="1:25" ht="12.75">
      <c r="A74" s="4" t="s">
        <v>66</v>
      </c>
      <c r="B74" s="4"/>
      <c r="C74" s="5">
        <f t="shared" si="4"/>
        <v>20560638</v>
      </c>
      <c r="D74" s="5"/>
      <c r="E74" s="5">
        <f>1461147+10272752</f>
        <v>11733899</v>
      </c>
      <c r="F74" s="5"/>
      <c r="G74" s="5">
        <v>0</v>
      </c>
      <c r="H74" s="5"/>
      <c r="I74" s="5">
        <v>32294537</v>
      </c>
      <c r="J74" s="5"/>
      <c r="K74" s="5">
        <f t="shared" si="5"/>
        <v>8128675</v>
      </c>
      <c r="L74" s="5"/>
      <c r="M74" s="5">
        <v>1651536</v>
      </c>
      <c r="N74" s="5"/>
      <c r="O74" s="5">
        <v>9780211</v>
      </c>
      <c r="P74" s="5"/>
      <c r="Q74" s="5">
        <v>4449105</v>
      </c>
      <c r="R74" s="5"/>
      <c r="S74" s="5">
        <f t="shared" si="6"/>
        <v>11450168</v>
      </c>
      <c r="T74" s="5"/>
      <c r="U74" s="5">
        <v>6615053</v>
      </c>
      <c r="V74" s="5"/>
      <c r="W74" s="5">
        <v>22514326</v>
      </c>
      <c r="X74" s="6"/>
      <c r="Y74" s="6">
        <f t="shared" si="7"/>
        <v>0</v>
      </c>
    </row>
    <row r="75" spans="1:25" ht="12.75">
      <c r="A75" s="4" t="s">
        <v>67</v>
      </c>
      <c r="B75" s="4"/>
      <c r="C75" s="5">
        <f aca="true" t="shared" si="8" ref="C75:C97">+I75-E75-G75</f>
        <v>116476251</v>
      </c>
      <c r="D75" s="5"/>
      <c r="E75" s="5">
        <f>9182949+79004949</f>
        <v>88187898</v>
      </c>
      <c r="F75" s="5"/>
      <c r="G75" s="5">
        <v>0</v>
      </c>
      <c r="H75" s="5"/>
      <c r="I75" s="5">
        <v>204664149</v>
      </c>
      <c r="J75" s="5"/>
      <c r="K75" s="5">
        <f aca="true" t="shared" si="9" ref="K75:K82">+O75-M75</f>
        <v>40591639</v>
      </c>
      <c r="L75" s="5"/>
      <c r="M75" s="5">
        <v>18789756</v>
      </c>
      <c r="N75" s="5"/>
      <c r="O75" s="5">
        <v>59381395</v>
      </c>
      <c r="P75" s="5"/>
      <c r="Q75" s="5">
        <v>71233970</v>
      </c>
      <c r="R75" s="5"/>
      <c r="S75" s="5">
        <f t="shared" si="6"/>
        <v>52457403</v>
      </c>
      <c r="T75" s="5"/>
      <c r="U75" s="5">
        <v>21591381</v>
      </c>
      <c r="V75" s="5"/>
      <c r="W75" s="5">
        <v>145282754</v>
      </c>
      <c r="X75" s="6"/>
      <c r="Y75" s="6">
        <f t="shared" si="7"/>
        <v>0</v>
      </c>
    </row>
    <row r="76" spans="1:25" ht="12.75">
      <c r="A76" s="4" t="s">
        <v>68</v>
      </c>
      <c r="B76" s="4"/>
      <c r="C76" s="5">
        <f t="shared" si="8"/>
        <v>20036699</v>
      </c>
      <c r="D76" s="5"/>
      <c r="E76" s="5">
        <f>1922674+13068313</f>
        <v>14990987</v>
      </c>
      <c r="F76" s="5"/>
      <c r="G76" s="5">
        <v>2586</v>
      </c>
      <c r="H76" s="5"/>
      <c r="I76" s="5">
        <v>35030272</v>
      </c>
      <c r="J76" s="5"/>
      <c r="K76" s="5">
        <f t="shared" si="9"/>
        <v>6578510</v>
      </c>
      <c r="L76" s="5"/>
      <c r="M76" s="5">
        <v>3004100</v>
      </c>
      <c r="N76" s="5"/>
      <c r="O76" s="5">
        <v>9582610</v>
      </c>
      <c r="P76" s="5"/>
      <c r="Q76" s="5">
        <v>11354130</v>
      </c>
      <c r="R76" s="5"/>
      <c r="S76" s="5">
        <f t="shared" si="6"/>
        <v>11102473</v>
      </c>
      <c r="T76" s="5"/>
      <c r="U76" s="5">
        <v>2991059</v>
      </c>
      <c r="V76" s="5"/>
      <c r="W76" s="5">
        <v>25447662</v>
      </c>
      <c r="X76" s="6"/>
      <c r="Y76" s="6">
        <f t="shared" si="7"/>
        <v>0</v>
      </c>
    </row>
    <row r="77" spans="1:25" ht="12.75" hidden="1">
      <c r="A77" s="4" t="s">
        <v>176</v>
      </c>
      <c r="B77" s="4"/>
      <c r="C77" s="5">
        <f t="shared" si="8"/>
        <v>0</v>
      </c>
      <c r="D77" s="5"/>
      <c r="E77" s="5">
        <v>0</v>
      </c>
      <c r="F77" s="5"/>
      <c r="G77" s="5">
        <v>0</v>
      </c>
      <c r="H77" s="5"/>
      <c r="I77" s="5">
        <v>0</v>
      </c>
      <c r="J77" s="5"/>
      <c r="K77" s="5">
        <f t="shared" si="9"/>
        <v>0</v>
      </c>
      <c r="L77" s="5"/>
      <c r="M77" s="5">
        <v>0</v>
      </c>
      <c r="N77" s="5"/>
      <c r="O77" s="5">
        <v>0</v>
      </c>
      <c r="P77" s="5"/>
      <c r="Q77" s="5">
        <v>0</v>
      </c>
      <c r="R77" s="5"/>
      <c r="S77" s="5">
        <f t="shared" si="6"/>
        <v>0</v>
      </c>
      <c r="T77" s="5"/>
      <c r="U77" s="5">
        <v>0</v>
      </c>
      <c r="V77" s="5"/>
      <c r="W77" s="5">
        <v>0</v>
      </c>
      <c r="X77" s="6"/>
      <c r="Y77" s="6">
        <f t="shared" si="7"/>
        <v>0</v>
      </c>
    </row>
    <row r="79" spans="1:25" ht="12.75">
      <c r="A79" s="4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 t="s">
        <v>261</v>
      </c>
      <c r="X79" s="6"/>
      <c r="Y79" s="6"/>
    </row>
    <row r="80" spans="1:25" ht="12.75">
      <c r="A80" s="4" t="s">
        <v>181</v>
      </c>
      <c r="B80" s="4"/>
      <c r="C80" s="5">
        <f>+I80-E80-G80</f>
        <v>103056076</v>
      </c>
      <c r="D80" s="5"/>
      <c r="E80" s="5">
        <f>8592377+83233908</f>
        <v>91826285</v>
      </c>
      <c r="F80" s="5"/>
      <c r="G80" s="5">
        <v>118978</v>
      </c>
      <c r="H80" s="5"/>
      <c r="I80" s="5">
        <v>195001339</v>
      </c>
      <c r="J80" s="5"/>
      <c r="K80" s="5">
        <f>+O80-M80</f>
        <v>41362781</v>
      </c>
      <c r="L80" s="5"/>
      <c r="M80" s="5">
        <v>27102078</v>
      </c>
      <c r="N80" s="5"/>
      <c r="O80" s="5">
        <v>68464859</v>
      </c>
      <c r="P80" s="5"/>
      <c r="Q80" s="5">
        <v>71089788</v>
      </c>
      <c r="R80" s="5"/>
      <c r="S80" s="5">
        <f aca="true" t="shared" si="10" ref="S80:S98">W80-U80-Q80</f>
        <v>46506812</v>
      </c>
      <c r="T80" s="5"/>
      <c r="U80" s="5">
        <v>8939880</v>
      </c>
      <c r="V80" s="5"/>
      <c r="W80" s="5">
        <v>126536480</v>
      </c>
      <c r="X80" s="6"/>
      <c r="Y80" s="6">
        <f aca="true" t="shared" si="11" ref="Y80:Y98">I80-O80-W80</f>
        <v>0</v>
      </c>
    </row>
    <row r="81" spans="1:25" ht="12.75">
      <c r="A81" s="1" t="s">
        <v>69</v>
      </c>
      <c r="B81" s="1"/>
      <c r="C81" s="5">
        <f t="shared" si="8"/>
        <v>23912271</v>
      </c>
      <c r="D81" s="5"/>
      <c r="E81" s="5">
        <f>2588830+40142273</f>
        <v>42731103</v>
      </c>
      <c r="F81" s="5"/>
      <c r="G81" s="5">
        <v>0</v>
      </c>
      <c r="H81" s="5"/>
      <c r="I81" s="5">
        <v>66643374</v>
      </c>
      <c r="J81" s="5"/>
      <c r="K81" s="5">
        <f t="shared" si="9"/>
        <v>15549424</v>
      </c>
      <c r="L81" s="5"/>
      <c r="M81" s="5">
        <v>14026283</v>
      </c>
      <c r="N81" s="5"/>
      <c r="O81" s="5">
        <v>29575707</v>
      </c>
      <c r="P81" s="5"/>
      <c r="Q81" s="5">
        <v>28804248</v>
      </c>
      <c r="R81" s="5"/>
      <c r="S81" s="5">
        <f t="shared" si="10"/>
        <v>7902647</v>
      </c>
      <c r="T81" s="5"/>
      <c r="U81" s="5">
        <v>360772</v>
      </c>
      <c r="V81" s="5"/>
      <c r="W81" s="5">
        <v>37067667</v>
      </c>
      <c r="X81" s="6"/>
      <c r="Y81" s="6">
        <f t="shared" si="11"/>
        <v>0</v>
      </c>
    </row>
    <row r="82" spans="1:25" ht="12.75">
      <c r="A82" s="4" t="s">
        <v>98</v>
      </c>
      <c r="B82" s="4"/>
      <c r="C82" s="5">
        <f t="shared" si="8"/>
        <v>40680748</v>
      </c>
      <c r="D82" s="5"/>
      <c r="E82" s="5">
        <f>43612445</f>
        <v>43612445</v>
      </c>
      <c r="F82" s="5"/>
      <c r="G82" s="5">
        <v>0</v>
      </c>
      <c r="H82" s="5"/>
      <c r="I82" s="5">
        <v>84293193</v>
      </c>
      <c r="J82" s="5"/>
      <c r="K82" s="5">
        <f t="shared" si="9"/>
        <v>12980691</v>
      </c>
      <c r="L82" s="5"/>
      <c r="M82" s="5">
        <v>7767128</v>
      </c>
      <c r="N82" s="5"/>
      <c r="O82" s="5">
        <v>20747819</v>
      </c>
      <c r="P82" s="5"/>
      <c r="Q82" s="5">
        <v>36369121</v>
      </c>
      <c r="R82" s="5"/>
      <c r="S82" s="5">
        <f t="shared" si="10"/>
        <v>18983111</v>
      </c>
      <c r="T82" s="5"/>
      <c r="U82" s="5">
        <v>8193142</v>
      </c>
      <c r="V82" s="5"/>
      <c r="W82" s="5">
        <v>63545374</v>
      </c>
      <c r="X82" s="6"/>
      <c r="Y82" s="6">
        <f t="shared" si="11"/>
        <v>0</v>
      </c>
    </row>
    <row r="83" spans="1:25" ht="12.75">
      <c r="A83" s="4" t="s">
        <v>70</v>
      </c>
      <c r="B83" s="4"/>
      <c r="C83" s="5">
        <f t="shared" si="8"/>
        <v>28967440</v>
      </c>
      <c r="D83" s="5"/>
      <c r="E83" s="5">
        <f>13200146+29177398</f>
        <v>42377544</v>
      </c>
      <c r="F83" s="5"/>
      <c r="G83" s="5">
        <v>249929</v>
      </c>
      <c r="H83" s="5"/>
      <c r="I83" s="5">
        <v>71594913</v>
      </c>
      <c r="J83" s="5"/>
      <c r="K83" s="5">
        <f aca="true" t="shared" si="12" ref="K83:K97">+O83-M83</f>
        <v>13378739</v>
      </c>
      <c r="L83" s="5"/>
      <c r="M83" s="5">
        <v>16459370</v>
      </c>
      <c r="N83" s="5"/>
      <c r="O83" s="5">
        <v>29838109</v>
      </c>
      <c r="P83" s="5"/>
      <c r="Q83" s="5">
        <v>25828167</v>
      </c>
      <c r="R83" s="5"/>
      <c r="S83" s="5">
        <f t="shared" si="10"/>
        <v>14395412</v>
      </c>
      <c r="T83" s="5"/>
      <c r="U83" s="5">
        <v>1533225</v>
      </c>
      <c r="V83" s="5"/>
      <c r="W83" s="5">
        <v>41756804</v>
      </c>
      <c r="X83" s="6"/>
      <c r="Y83" s="6">
        <f t="shared" si="11"/>
        <v>0</v>
      </c>
    </row>
    <row r="84" spans="1:25" ht="12.75">
      <c r="A84" s="4" t="s">
        <v>71</v>
      </c>
      <c r="B84" s="4"/>
      <c r="C84" s="5">
        <f t="shared" si="8"/>
        <v>36789046</v>
      </c>
      <c r="D84" s="5"/>
      <c r="E84" s="5">
        <f>21580852+41230588</f>
        <v>62811440</v>
      </c>
      <c r="F84" s="5"/>
      <c r="G84" s="5">
        <v>0</v>
      </c>
      <c r="H84" s="5"/>
      <c r="I84" s="5">
        <v>99600486</v>
      </c>
      <c r="J84" s="5"/>
      <c r="K84" s="5">
        <f t="shared" si="12"/>
        <v>10818415</v>
      </c>
      <c r="L84" s="5"/>
      <c r="M84" s="5">
        <v>6730934</v>
      </c>
      <c r="N84" s="5"/>
      <c r="O84" s="5">
        <v>17549349</v>
      </c>
      <c r="P84" s="5"/>
      <c r="Q84" s="5">
        <v>56151440</v>
      </c>
      <c r="R84" s="5"/>
      <c r="S84" s="5">
        <f t="shared" si="10"/>
        <v>17756944</v>
      </c>
      <c r="T84" s="5"/>
      <c r="U84" s="5">
        <v>8142753</v>
      </c>
      <c r="V84" s="5"/>
      <c r="W84" s="5">
        <v>82051137</v>
      </c>
      <c r="X84" s="6"/>
      <c r="Y84" s="6">
        <f t="shared" si="11"/>
        <v>0</v>
      </c>
    </row>
    <row r="85" spans="1:25" ht="12.75">
      <c r="A85" s="4" t="s">
        <v>72</v>
      </c>
      <c r="B85" s="4"/>
      <c r="C85" s="5">
        <f t="shared" si="8"/>
        <v>29839343</v>
      </c>
      <c r="D85" s="5"/>
      <c r="E85" s="5">
        <f>29340524+1448501</f>
        <v>30789025</v>
      </c>
      <c r="F85" s="5"/>
      <c r="G85" s="5">
        <v>7885</v>
      </c>
      <c r="H85" s="5"/>
      <c r="I85" s="5">
        <v>60636253</v>
      </c>
      <c r="J85" s="5"/>
      <c r="K85" s="5">
        <f t="shared" si="12"/>
        <v>9416592</v>
      </c>
      <c r="L85" s="5"/>
      <c r="M85" s="5">
        <v>2533238</v>
      </c>
      <c r="N85" s="5"/>
      <c r="O85" s="5">
        <v>11949830</v>
      </c>
      <c r="P85" s="5"/>
      <c r="Q85" s="5">
        <v>29635193</v>
      </c>
      <c r="R85" s="5"/>
      <c r="S85" s="5">
        <f t="shared" si="10"/>
        <v>16725400</v>
      </c>
      <c r="T85" s="5"/>
      <c r="U85" s="5">
        <v>2325830</v>
      </c>
      <c r="V85" s="5"/>
      <c r="W85" s="5">
        <v>48686423</v>
      </c>
      <c r="X85" s="6"/>
      <c r="Y85" s="6">
        <f t="shared" si="11"/>
        <v>0</v>
      </c>
    </row>
    <row r="86" spans="1:25" ht="12.75">
      <c r="A86" s="4" t="s">
        <v>73</v>
      </c>
      <c r="B86" s="4"/>
      <c r="C86" s="5">
        <f t="shared" si="8"/>
        <v>207401062</v>
      </c>
      <c r="D86" s="5"/>
      <c r="E86" s="5">
        <f>33922718+117169702</f>
        <v>151092420</v>
      </c>
      <c r="F86" s="5"/>
      <c r="G86" s="5">
        <v>0</v>
      </c>
      <c r="H86" s="5"/>
      <c r="I86" s="5">
        <v>358493482</v>
      </c>
      <c r="J86" s="5"/>
      <c r="K86" s="5">
        <f t="shared" si="12"/>
        <v>74049448</v>
      </c>
      <c r="L86" s="5"/>
      <c r="M86" s="5">
        <v>11836131</v>
      </c>
      <c r="N86" s="5"/>
      <c r="O86" s="5">
        <v>85885579</v>
      </c>
      <c r="P86" s="5"/>
      <c r="Q86" s="5">
        <v>147130113</v>
      </c>
      <c r="R86" s="5"/>
      <c r="S86" s="5">
        <f t="shared" si="10"/>
        <v>103680261</v>
      </c>
      <c r="T86" s="5"/>
      <c r="U86" s="5">
        <v>21797529</v>
      </c>
      <c r="V86" s="5"/>
      <c r="W86" s="5">
        <v>272607903</v>
      </c>
      <c r="X86" s="6"/>
      <c r="Y86" s="6">
        <f t="shared" si="11"/>
        <v>0</v>
      </c>
    </row>
    <row r="87" spans="1:25" ht="12.75">
      <c r="A87" s="4" t="s">
        <v>74</v>
      </c>
      <c r="B87" s="4"/>
      <c r="C87" s="5">
        <f t="shared" si="8"/>
        <v>390072953</v>
      </c>
      <c r="D87" s="5"/>
      <c r="E87" s="5">
        <f>18296200+268453105</f>
        <v>286749305</v>
      </c>
      <c r="F87" s="5"/>
      <c r="G87" s="5">
        <v>565496</v>
      </c>
      <c r="H87" s="5"/>
      <c r="I87" s="5">
        <v>677387754</v>
      </c>
      <c r="J87" s="5"/>
      <c r="K87" s="5">
        <f t="shared" si="12"/>
        <v>183828071</v>
      </c>
      <c r="L87" s="5"/>
      <c r="M87" s="5">
        <v>93712927</v>
      </c>
      <c r="N87" s="5"/>
      <c r="O87" s="5">
        <v>277540998</v>
      </c>
      <c r="P87" s="5"/>
      <c r="Q87" s="5">
        <v>217570063</v>
      </c>
      <c r="R87" s="5"/>
      <c r="S87" s="5">
        <f t="shared" si="10"/>
        <v>66069582</v>
      </c>
      <c r="T87" s="5"/>
      <c r="U87" s="5">
        <v>116207111</v>
      </c>
      <c r="V87" s="5"/>
      <c r="W87" s="5">
        <v>399846756</v>
      </c>
      <c r="X87" s="6"/>
      <c r="Y87" s="6">
        <f t="shared" si="11"/>
        <v>0</v>
      </c>
    </row>
    <row r="88" spans="1:25" ht="12.75">
      <c r="A88" s="4" t="s">
        <v>75</v>
      </c>
      <c r="B88" s="4"/>
      <c r="C88" s="5">
        <f t="shared" si="8"/>
        <v>138885056</v>
      </c>
      <c r="D88" s="5"/>
      <c r="E88" s="5">
        <f>3472052+78865426</f>
        <v>82337478</v>
      </c>
      <c r="F88" s="5"/>
      <c r="G88" s="5">
        <v>190639</v>
      </c>
      <c r="H88" s="5"/>
      <c r="I88" s="5">
        <v>221413173</v>
      </c>
      <c r="J88" s="5"/>
      <c r="K88" s="5">
        <f t="shared" si="12"/>
        <v>47117805</v>
      </c>
      <c r="L88" s="5"/>
      <c r="M88" s="5">
        <v>41741711</v>
      </c>
      <c r="N88" s="5"/>
      <c r="O88" s="5">
        <v>88859516</v>
      </c>
      <c r="P88" s="5"/>
      <c r="Q88" s="5">
        <v>65098456</v>
      </c>
      <c r="R88" s="5"/>
      <c r="S88" s="5">
        <f t="shared" si="10"/>
        <v>70329981</v>
      </c>
      <c r="T88" s="5"/>
      <c r="U88" s="5">
        <v>-2874780</v>
      </c>
      <c r="V88" s="5"/>
      <c r="W88" s="5">
        <v>132553657</v>
      </c>
      <c r="X88" s="6"/>
      <c r="Y88" s="6">
        <f t="shared" si="11"/>
        <v>0</v>
      </c>
    </row>
    <row r="89" spans="1:25" ht="12.75">
      <c r="A89" s="4" t="s">
        <v>76</v>
      </c>
      <c r="B89" s="4"/>
      <c r="C89" s="5">
        <f t="shared" si="8"/>
        <v>64255585</v>
      </c>
      <c r="D89" s="5"/>
      <c r="E89" s="5">
        <f>1703781+32900657</f>
        <v>34604438</v>
      </c>
      <c r="F89" s="5"/>
      <c r="G89" s="5">
        <v>0</v>
      </c>
      <c r="H89" s="5"/>
      <c r="I89" s="5">
        <v>98860023</v>
      </c>
      <c r="J89" s="5"/>
      <c r="K89" s="5">
        <f t="shared" si="12"/>
        <v>13720620</v>
      </c>
      <c r="L89" s="5"/>
      <c r="M89" s="5">
        <v>1890912</v>
      </c>
      <c r="N89" s="5"/>
      <c r="O89" s="5">
        <v>15611532</v>
      </c>
      <c r="P89" s="5"/>
      <c r="Q89" s="5">
        <v>33604921</v>
      </c>
      <c r="R89" s="5"/>
      <c r="S89" s="5">
        <f t="shared" si="10"/>
        <v>35303803</v>
      </c>
      <c r="T89" s="5"/>
      <c r="U89" s="5">
        <v>14339767</v>
      </c>
      <c r="V89" s="5"/>
      <c r="W89" s="5">
        <v>83248491</v>
      </c>
      <c r="X89" s="6"/>
      <c r="Y89" s="6">
        <f t="shared" si="11"/>
        <v>0</v>
      </c>
    </row>
    <row r="90" spans="1:25" ht="12.75">
      <c r="A90" s="4" t="s">
        <v>77</v>
      </c>
      <c r="B90" s="4"/>
      <c r="C90" s="5">
        <f t="shared" si="8"/>
        <v>39310087</v>
      </c>
      <c r="D90" s="5"/>
      <c r="E90" s="5">
        <f>45757039+17984932</f>
        <v>63741971</v>
      </c>
      <c r="F90" s="5"/>
      <c r="G90" s="5">
        <v>0</v>
      </c>
      <c r="H90" s="5"/>
      <c r="I90" s="5">
        <v>103052058</v>
      </c>
      <c r="J90" s="5"/>
      <c r="K90" s="5">
        <f t="shared" si="12"/>
        <v>16321384</v>
      </c>
      <c r="L90" s="5"/>
      <c r="M90" s="5">
        <v>7271665</v>
      </c>
      <c r="N90" s="5"/>
      <c r="O90" s="5">
        <v>23593049</v>
      </c>
      <c r="P90" s="5"/>
      <c r="Q90" s="5">
        <v>56089685</v>
      </c>
      <c r="R90" s="5"/>
      <c r="S90" s="5">
        <f t="shared" si="10"/>
        <v>16525189</v>
      </c>
      <c r="T90" s="5"/>
      <c r="U90" s="5">
        <v>6844135</v>
      </c>
      <c r="V90" s="5"/>
      <c r="W90" s="5">
        <v>79459009</v>
      </c>
      <c r="X90" s="6"/>
      <c r="Y90" s="6">
        <f t="shared" si="11"/>
        <v>0</v>
      </c>
    </row>
    <row r="91" spans="1:25" ht="12.75">
      <c r="A91" s="4" t="s">
        <v>78</v>
      </c>
      <c r="B91" s="4"/>
      <c r="C91" s="5">
        <f t="shared" si="8"/>
        <v>17258211</v>
      </c>
      <c r="D91" s="5"/>
      <c r="E91" s="5">
        <f>135099+18041418</f>
        <v>18176517</v>
      </c>
      <c r="F91" s="5"/>
      <c r="G91" s="5">
        <v>0</v>
      </c>
      <c r="H91" s="5"/>
      <c r="I91" s="5">
        <v>35434728</v>
      </c>
      <c r="J91" s="5"/>
      <c r="K91" s="5">
        <f t="shared" si="12"/>
        <v>9780787</v>
      </c>
      <c r="L91" s="5"/>
      <c r="M91" s="5">
        <v>2707728</v>
      </c>
      <c r="N91" s="5"/>
      <c r="O91" s="5">
        <v>12488515</v>
      </c>
      <c r="P91" s="5"/>
      <c r="Q91" s="5">
        <v>15806444</v>
      </c>
      <c r="R91" s="5"/>
      <c r="S91" s="5">
        <f t="shared" si="10"/>
        <v>9657433</v>
      </c>
      <c r="T91" s="5"/>
      <c r="U91" s="5">
        <f>-2517664</f>
        <v>-2517664</v>
      </c>
      <c r="V91" s="5"/>
      <c r="W91" s="5">
        <v>22946213</v>
      </c>
      <c r="X91" s="6"/>
      <c r="Y91" s="6">
        <f t="shared" si="11"/>
        <v>0</v>
      </c>
    </row>
    <row r="92" spans="1:25" ht="12.75">
      <c r="A92" s="4" t="s">
        <v>79</v>
      </c>
      <c r="B92" s="4"/>
      <c r="C92" s="5">
        <f t="shared" si="8"/>
        <v>10721488</v>
      </c>
      <c r="D92" s="5"/>
      <c r="E92" s="5">
        <f>58558+5275609</f>
        <v>5334167</v>
      </c>
      <c r="F92" s="5"/>
      <c r="G92" s="5">
        <v>0</v>
      </c>
      <c r="H92" s="5"/>
      <c r="I92" s="5">
        <v>16055655</v>
      </c>
      <c r="J92" s="5"/>
      <c r="K92" s="5">
        <f t="shared" si="12"/>
        <v>1491396</v>
      </c>
      <c r="L92" s="5"/>
      <c r="M92" s="5">
        <v>2497508</v>
      </c>
      <c r="N92" s="5"/>
      <c r="O92" s="5">
        <v>3988904</v>
      </c>
      <c r="P92" s="5"/>
      <c r="Q92" s="5">
        <v>3073782</v>
      </c>
      <c r="R92" s="5"/>
      <c r="S92" s="5">
        <f t="shared" si="10"/>
        <v>8551604</v>
      </c>
      <c r="T92" s="5"/>
      <c r="U92" s="5">
        <v>441365</v>
      </c>
      <c r="V92" s="5"/>
      <c r="W92" s="5">
        <v>12066751</v>
      </c>
      <c r="X92" s="6"/>
      <c r="Y92" s="6">
        <f t="shared" si="11"/>
        <v>0</v>
      </c>
    </row>
    <row r="93" spans="1:25" ht="12.75">
      <c r="A93" s="4" t="s">
        <v>80</v>
      </c>
      <c r="B93" s="4"/>
      <c r="C93" s="5">
        <f t="shared" si="8"/>
        <v>171294375</v>
      </c>
      <c r="D93" s="5"/>
      <c r="E93" s="5">
        <f>13369641+82305251</f>
        <v>95674892</v>
      </c>
      <c r="F93" s="5"/>
      <c r="G93" s="5">
        <v>0</v>
      </c>
      <c r="H93" s="5"/>
      <c r="I93" s="5">
        <v>266969267</v>
      </c>
      <c r="J93" s="5"/>
      <c r="K93" s="5">
        <f t="shared" si="12"/>
        <v>55584872</v>
      </c>
      <c r="L93" s="5"/>
      <c r="M93" s="5">
        <f>29925795</f>
        <v>29925795</v>
      </c>
      <c r="N93" s="5"/>
      <c r="O93" s="5">
        <v>85510667</v>
      </c>
      <c r="P93" s="5"/>
      <c r="Q93" s="5">
        <v>85398414</v>
      </c>
      <c r="R93" s="5"/>
      <c r="S93" s="5">
        <f t="shared" si="10"/>
        <v>90678144</v>
      </c>
      <c r="T93" s="5"/>
      <c r="U93" s="5">
        <v>5382042</v>
      </c>
      <c r="V93" s="5"/>
      <c r="W93" s="5">
        <v>181458600</v>
      </c>
      <c r="X93" s="6"/>
      <c r="Y93" s="6">
        <f t="shared" si="11"/>
        <v>0</v>
      </c>
    </row>
    <row r="94" spans="1:25" ht="12.75">
      <c r="A94" s="4" t="s">
        <v>81</v>
      </c>
      <c r="B94" s="4"/>
      <c r="C94" s="5">
        <f t="shared" si="8"/>
        <v>40744716</v>
      </c>
      <c r="D94" s="5"/>
      <c r="E94" s="5">
        <f>123619322+17776841</f>
        <v>141396163</v>
      </c>
      <c r="F94" s="5"/>
      <c r="G94" s="5">
        <v>107563</v>
      </c>
      <c r="H94" s="5"/>
      <c r="I94" s="5">
        <v>182248442</v>
      </c>
      <c r="J94" s="5"/>
      <c r="K94" s="5">
        <f t="shared" si="12"/>
        <v>13138287</v>
      </c>
      <c r="L94" s="5"/>
      <c r="M94" s="5">
        <v>6925059</v>
      </c>
      <c r="N94" s="5"/>
      <c r="O94" s="5">
        <v>20063346</v>
      </c>
      <c r="P94" s="5"/>
      <c r="Q94" s="5">
        <v>134592689</v>
      </c>
      <c r="R94" s="5"/>
      <c r="S94" s="5">
        <f t="shared" si="10"/>
        <v>20466720</v>
      </c>
      <c r="T94" s="5"/>
      <c r="U94" s="5">
        <v>7125687</v>
      </c>
      <c r="V94" s="5"/>
      <c r="W94" s="5">
        <v>162185096</v>
      </c>
      <c r="X94" s="6"/>
      <c r="Y94" s="6">
        <f t="shared" si="11"/>
        <v>0</v>
      </c>
    </row>
    <row r="95" spans="1:25" ht="12.75">
      <c r="A95" s="4" t="s">
        <v>82</v>
      </c>
      <c r="B95" s="4"/>
      <c r="C95" s="5">
        <f t="shared" si="8"/>
        <v>63415185</v>
      </c>
      <c r="D95" s="5"/>
      <c r="E95" s="5">
        <f>6322270+83418279</f>
        <v>89740549</v>
      </c>
      <c r="F95" s="5"/>
      <c r="G95" s="5">
        <v>83334</v>
      </c>
      <c r="H95" s="5"/>
      <c r="I95" s="5">
        <v>153239068</v>
      </c>
      <c r="J95" s="5"/>
      <c r="K95" s="5">
        <f t="shared" si="12"/>
        <v>22086577</v>
      </c>
      <c r="L95" s="5"/>
      <c r="M95" s="5">
        <v>12382302</v>
      </c>
      <c r="N95" s="5"/>
      <c r="O95" s="5">
        <v>34468879</v>
      </c>
      <c r="P95" s="5"/>
      <c r="Q95" s="5">
        <v>79170381</v>
      </c>
      <c r="R95" s="5"/>
      <c r="S95" s="5">
        <f t="shared" si="10"/>
        <v>28893673</v>
      </c>
      <c r="T95" s="5"/>
      <c r="U95" s="5">
        <v>10706135</v>
      </c>
      <c r="V95" s="5"/>
      <c r="W95" s="5">
        <v>118770189</v>
      </c>
      <c r="X95" s="6"/>
      <c r="Y95" s="6">
        <f t="shared" si="11"/>
        <v>0</v>
      </c>
    </row>
    <row r="96" spans="1:25" ht="12.75" hidden="1">
      <c r="A96" s="4" t="s">
        <v>174</v>
      </c>
      <c r="B96" s="4"/>
      <c r="C96" s="5">
        <f t="shared" si="8"/>
        <v>0</v>
      </c>
      <c r="D96" s="5"/>
      <c r="E96" s="5">
        <v>0</v>
      </c>
      <c r="F96" s="5"/>
      <c r="G96" s="5">
        <v>0</v>
      </c>
      <c r="H96" s="5"/>
      <c r="I96" s="5">
        <v>0</v>
      </c>
      <c r="J96" s="5"/>
      <c r="K96" s="5">
        <f t="shared" si="12"/>
        <v>0</v>
      </c>
      <c r="L96" s="5"/>
      <c r="M96" s="5">
        <v>0</v>
      </c>
      <c r="N96" s="5"/>
      <c r="O96" s="5">
        <v>0</v>
      </c>
      <c r="P96" s="5"/>
      <c r="Q96" s="5">
        <v>0</v>
      </c>
      <c r="R96" s="5"/>
      <c r="S96" s="5">
        <f t="shared" si="10"/>
        <v>0</v>
      </c>
      <c r="T96" s="5"/>
      <c r="U96" s="5">
        <v>0</v>
      </c>
      <c r="V96" s="5"/>
      <c r="W96" s="5">
        <v>0</v>
      </c>
      <c r="X96" s="6"/>
      <c r="Y96" s="6">
        <f t="shared" si="11"/>
        <v>0</v>
      </c>
    </row>
    <row r="97" spans="1:25" ht="12.75">
      <c r="A97" s="4" t="s">
        <v>83</v>
      </c>
      <c r="B97" s="4"/>
      <c r="C97" s="5">
        <f t="shared" si="8"/>
        <v>119378404</v>
      </c>
      <c r="D97" s="5"/>
      <c r="E97" s="5">
        <f>2865219+74346045</f>
        <v>77211264</v>
      </c>
      <c r="F97" s="5"/>
      <c r="G97" s="5">
        <v>0</v>
      </c>
      <c r="H97" s="5"/>
      <c r="I97" s="5">
        <v>196589668</v>
      </c>
      <c r="J97" s="5"/>
      <c r="K97" s="5">
        <f t="shared" si="12"/>
        <v>37214114</v>
      </c>
      <c r="L97" s="5"/>
      <c r="M97" s="5">
        <v>10336648</v>
      </c>
      <c r="N97" s="5"/>
      <c r="O97" s="5">
        <v>47550762</v>
      </c>
      <c r="P97" s="5"/>
      <c r="Q97" s="5">
        <v>73881680</v>
      </c>
      <c r="R97" s="5"/>
      <c r="S97" s="5">
        <f t="shared" si="10"/>
        <v>56024223</v>
      </c>
      <c r="T97" s="5"/>
      <c r="U97" s="5">
        <v>19133003</v>
      </c>
      <c r="V97" s="5"/>
      <c r="W97" s="5">
        <v>149038906</v>
      </c>
      <c r="X97" s="6"/>
      <c r="Y97" s="6">
        <f t="shared" si="11"/>
        <v>0</v>
      </c>
    </row>
    <row r="98" spans="1:25" ht="12.75" hidden="1">
      <c r="A98" s="4" t="s">
        <v>175</v>
      </c>
      <c r="B98" s="4"/>
      <c r="C98" s="5">
        <f>+I98-E98-G98</f>
        <v>0</v>
      </c>
      <c r="D98" s="5"/>
      <c r="E98" s="5">
        <v>0</v>
      </c>
      <c r="F98" s="5"/>
      <c r="G98" s="5">
        <v>0</v>
      </c>
      <c r="H98" s="5"/>
      <c r="I98" s="5">
        <v>0</v>
      </c>
      <c r="J98" s="5"/>
      <c r="K98" s="5">
        <f>+O98-M98</f>
        <v>0</v>
      </c>
      <c r="L98" s="5"/>
      <c r="M98" s="5">
        <v>0</v>
      </c>
      <c r="N98" s="5"/>
      <c r="O98" s="5">
        <v>0</v>
      </c>
      <c r="P98" s="5"/>
      <c r="Q98" s="5">
        <v>0</v>
      </c>
      <c r="R98" s="5"/>
      <c r="S98" s="5">
        <f t="shared" si="10"/>
        <v>0</v>
      </c>
      <c r="T98" s="5"/>
      <c r="U98" s="5">
        <v>0</v>
      </c>
      <c r="V98" s="5"/>
      <c r="W98" s="5">
        <v>0</v>
      </c>
      <c r="X98" s="6"/>
      <c r="Y98" s="6">
        <f t="shared" si="11"/>
        <v>0</v>
      </c>
    </row>
    <row r="99" spans="1:25" ht="12.75">
      <c r="A99" s="4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6"/>
      <c r="Y99" s="11"/>
    </row>
    <row r="100" spans="1:25" ht="12.75">
      <c r="A100" s="4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6"/>
      <c r="Y100" s="11"/>
    </row>
    <row r="101" spans="1:25" ht="12.75">
      <c r="A101" s="15"/>
      <c r="B101" s="1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6"/>
      <c r="Y101" s="11"/>
    </row>
    <row r="102" spans="1:25" ht="12.75">
      <c r="A102" s="15"/>
      <c r="B102" s="1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6"/>
      <c r="Y102" s="11"/>
    </row>
    <row r="103" spans="1:25" ht="12.75">
      <c r="A103" s="15"/>
      <c r="B103" s="1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6"/>
      <c r="Y103" s="11"/>
    </row>
    <row r="104" spans="1:25" ht="12.75">
      <c r="A104" s="15"/>
      <c r="B104" s="1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6"/>
      <c r="Y104" s="11"/>
    </row>
    <row r="105" spans="1:25" ht="12.75">
      <c r="A105" s="15"/>
      <c r="B105" s="1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6"/>
      <c r="Y105" s="11"/>
    </row>
    <row r="106" spans="1:25" ht="12.75">
      <c r="A106" s="15"/>
      <c r="B106" s="1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6"/>
      <c r="Y106" s="11"/>
    </row>
    <row r="107" spans="1:25" ht="12.75">
      <c r="A107" s="15"/>
      <c r="B107" s="1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6"/>
      <c r="Y107" s="11"/>
    </row>
    <row r="108" spans="1:25" ht="12.75">
      <c r="A108" s="15"/>
      <c r="B108" s="1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6"/>
      <c r="Y108" s="11"/>
    </row>
    <row r="109" spans="1:25" ht="12.75">
      <c r="A109" s="15"/>
      <c r="B109" s="1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6"/>
      <c r="Y109" s="11"/>
    </row>
    <row r="110" spans="1:25" ht="12.75">
      <c r="A110" s="15"/>
      <c r="B110" s="1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6"/>
      <c r="Y110" s="11"/>
    </row>
    <row r="111" spans="1:25" ht="12.75">
      <c r="A111" s="15"/>
      <c r="B111" s="1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6"/>
      <c r="Y111" s="11"/>
    </row>
    <row r="112" spans="1:25" ht="12.75">
      <c r="A112" s="11"/>
      <c r="B112" s="11"/>
      <c r="C112" s="6"/>
      <c r="D112" s="6"/>
      <c r="E112" s="6"/>
      <c r="F112" s="6"/>
      <c r="G112" s="6"/>
      <c r="H112" s="6"/>
      <c r="I112" s="6"/>
      <c r="J112" s="6"/>
      <c r="X112" s="6"/>
      <c r="Y112" s="11"/>
    </row>
    <row r="113" spans="1:25" ht="12.75">
      <c r="A113" s="11"/>
      <c r="B113" s="11"/>
      <c r="C113" s="6"/>
      <c r="D113" s="6"/>
      <c r="E113" s="6"/>
      <c r="F113" s="6"/>
      <c r="G113" s="6"/>
      <c r="H113" s="6"/>
      <c r="I113" s="6"/>
      <c r="J113" s="6"/>
      <c r="X113" s="6"/>
      <c r="Y113" s="11"/>
    </row>
    <row r="114" spans="1:25" ht="12.75">
      <c r="A114" s="11"/>
      <c r="B114" s="11"/>
      <c r="C114" s="6"/>
      <c r="D114" s="6"/>
      <c r="E114" s="6"/>
      <c r="F114" s="6"/>
      <c r="G114" s="6"/>
      <c r="H114" s="6"/>
      <c r="I114" s="6"/>
      <c r="J114" s="6"/>
      <c r="X114" s="6"/>
      <c r="Y114" s="11"/>
    </row>
  </sheetData>
  <printOptions horizontalCentered="1"/>
  <pageMargins left="1" right="1" top="0.5" bottom="0.5" header="0" footer="0.25"/>
  <pageSetup firstPageNumber="4" useFirstPageNumber="1" horizontalDpi="600" verticalDpi="600" orientation="portrait" pageOrder="overThenDown" scale="95" r:id="rId1"/>
  <headerFooter alignWithMargins="0">
    <oddFooter>&amp;C&amp;"Times New Roman,Regular"&amp;11&amp;P</oddFooter>
  </headerFooter>
  <rowBreaks count="1" manualBreakCount="1">
    <brk id="79" max="22" man="1"/>
  </rowBreaks>
  <colBreaks count="1" manualBreakCount="1">
    <brk id="11" max="9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V115"/>
  <sheetViews>
    <sheetView workbookViewId="0" topLeftCell="A1">
      <selection activeCell="A6" sqref="A6"/>
    </sheetView>
  </sheetViews>
  <sheetFormatPr defaultColWidth="9.140625" defaultRowHeight="12.75"/>
  <cols>
    <col min="1" max="1" width="17.421875" style="49" customWidth="1"/>
    <col min="2" max="2" width="1.7109375" style="49" customWidth="1"/>
    <col min="3" max="3" width="12.7109375" style="49" customWidth="1"/>
    <col min="4" max="4" width="1.7109375" style="49" customWidth="1"/>
    <col min="5" max="5" width="12.7109375" style="49" customWidth="1"/>
    <col min="6" max="6" width="1.7109375" style="49" customWidth="1"/>
    <col min="7" max="7" width="12.7109375" style="49" customWidth="1"/>
    <col min="8" max="8" width="1.7109375" style="49" customWidth="1"/>
    <col min="9" max="9" width="12.7109375" style="49" customWidth="1"/>
    <col min="10" max="10" width="1.7109375" style="49" customWidth="1"/>
    <col min="11" max="11" width="12.7109375" style="49" customWidth="1"/>
    <col min="12" max="12" width="1.7109375" style="49" customWidth="1"/>
    <col min="13" max="13" width="11.7109375" style="49" customWidth="1"/>
    <col min="14" max="14" width="1.7109375" style="49" customWidth="1"/>
    <col min="15" max="15" width="11.7109375" style="49" customWidth="1"/>
    <col min="16" max="16" width="1.7109375" style="49" customWidth="1"/>
    <col min="17" max="17" width="11.7109375" style="49" customWidth="1"/>
    <col min="18" max="18" width="1.7109375" style="49" customWidth="1"/>
    <col min="19" max="19" width="11.7109375" style="49" customWidth="1"/>
    <col min="20" max="20" width="1.7109375" style="49" customWidth="1"/>
    <col min="21" max="21" width="11.7109375" style="49" customWidth="1"/>
    <col min="22" max="22" width="11.7109375" style="49" hidden="1" customWidth="1"/>
    <col min="23" max="23" width="1.7109375" style="49" hidden="1" customWidth="1"/>
    <col min="24" max="24" width="11.7109375" style="49" customWidth="1"/>
    <col min="25" max="25" width="1.7109375" style="49" customWidth="1"/>
    <col min="26" max="26" width="12.7109375" style="49" customWidth="1"/>
    <col min="27" max="27" width="1.7109375" style="49" customWidth="1"/>
    <col min="28" max="28" width="12.7109375" style="72" customWidth="1"/>
    <col min="29" max="29" width="1.7109375" style="72" customWidth="1"/>
    <col min="30" max="30" width="12.7109375" style="72" customWidth="1"/>
    <col min="31" max="31" width="1.7109375" style="72" customWidth="1"/>
    <col min="32" max="32" width="12.7109375" style="72" customWidth="1"/>
    <col min="33" max="33" width="1.7109375" style="72" customWidth="1"/>
    <col min="34" max="34" width="12.7109375" style="72" customWidth="1"/>
    <col min="35" max="35" width="1.7109375" style="72" customWidth="1"/>
    <col min="36" max="36" width="12.7109375" style="72" customWidth="1"/>
    <col min="37" max="37" width="1.7109375" style="72" customWidth="1"/>
    <col min="38" max="38" width="12.7109375" style="72" customWidth="1"/>
    <col min="39" max="39" width="1.7109375" style="72" customWidth="1"/>
    <col min="40" max="40" width="12.7109375" style="65" customWidth="1"/>
    <col min="41" max="41" width="1.7109375" style="65" customWidth="1"/>
    <col min="42" max="42" width="12.7109375" style="65" customWidth="1"/>
    <col min="43" max="43" width="1.7109375" style="65" customWidth="1"/>
    <col min="44" max="44" width="11.7109375" style="65" hidden="1" customWidth="1"/>
    <col min="45" max="45" width="1.7109375" style="65" hidden="1" customWidth="1"/>
    <col min="46" max="46" width="11.7109375" style="65" hidden="1" customWidth="1"/>
    <col min="47" max="47" width="1.7109375" style="65" hidden="1" customWidth="1"/>
    <col min="48" max="48" width="12.7109375" style="65" customWidth="1"/>
    <col min="49" max="49" width="2.421875" style="65" customWidth="1"/>
    <col min="50" max="50" width="14.140625" style="65" customWidth="1"/>
    <col min="51" max="51" width="1.7109375" style="65" customWidth="1"/>
    <col min="52" max="52" width="12.7109375" style="65" customWidth="1"/>
    <col min="53" max="53" width="1.7109375" style="65" customWidth="1"/>
    <col min="54" max="54" width="12.7109375" style="65" customWidth="1"/>
    <col min="55" max="55" width="1.7109375" style="65" customWidth="1"/>
    <col min="56" max="56" width="12.7109375" style="65" customWidth="1"/>
    <col min="57" max="57" width="1.7109375" style="65" customWidth="1"/>
    <col min="58" max="58" width="12.7109375" style="65" customWidth="1"/>
    <col min="59" max="59" width="1.7109375" style="65" hidden="1" customWidth="1"/>
    <col min="60" max="60" width="11.7109375" style="65" hidden="1" customWidth="1"/>
    <col min="61" max="61" width="1.7109375" style="65" customWidth="1"/>
    <col min="62" max="62" width="12.7109375" style="65" customWidth="1"/>
    <col min="63" max="63" width="13.57421875" style="65" customWidth="1"/>
    <col min="64" max="16384" width="8.421875" style="65" customWidth="1"/>
  </cols>
  <sheetData>
    <row r="1" spans="1:50" s="44" customFormat="1" ht="12.75">
      <c r="A1" s="43" t="s">
        <v>198</v>
      </c>
      <c r="B1" s="8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90" t="s">
        <v>232</v>
      </c>
      <c r="Y1" s="114"/>
      <c r="Z1" s="114"/>
      <c r="AA1" s="76"/>
      <c r="AB1" s="76"/>
      <c r="AC1" s="76"/>
      <c r="AD1" s="76"/>
      <c r="AE1" s="76"/>
      <c r="AF1" s="76"/>
      <c r="AG1" s="64"/>
      <c r="AH1" s="64"/>
      <c r="AI1" s="64"/>
      <c r="AJ1" s="64"/>
      <c r="AK1" s="64"/>
      <c r="AL1" s="64"/>
      <c r="AM1" s="64"/>
      <c r="AX1" s="90" t="s">
        <v>198</v>
      </c>
    </row>
    <row r="2" spans="1:50" s="44" customFormat="1" ht="12.75">
      <c r="A2" s="43" t="s">
        <v>262</v>
      </c>
      <c r="B2" s="8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43" t="s">
        <v>207</v>
      </c>
      <c r="Y2" s="114"/>
      <c r="Z2" s="114"/>
      <c r="AA2" s="76"/>
      <c r="AB2" s="76"/>
      <c r="AC2" s="76"/>
      <c r="AD2" s="76"/>
      <c r="AE2" s="76"/>
      <c r="AF2" s="76"/>
      <c r="AG2" s="64"/>
      <c r="AH2" s="64"/>
      <c r="AI2" s="64"/>
      <c r="AJ2" s="64"/>
      <c r="AK2" s="64"/>
      <c r="AL2" s="64"/>
      <c r="AM2" s="64"/>
      <c r="AX2" s="90" t="s">
        <v>102</v>
      </c>
    </row>
    <row r="3" spans="1:50" s="44" customFormat="1" ht="12.75">
      <c r="A3" s="43" t="s">
        <v>247</v>
      </c>
      <c r="B3" s="8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43" t="s">
        <v>249</v>
      </c>
      <c r="Y3" s="114"/>
      <c r="Z3" s="114"/>
      <c r="AA3" s="76"/>
      <c r="AB3" s="76"/>
      <c r="AC3" s="76"/>
      <c r="AD3" s="76"/>
      <c r="AE3" s="76"/>
      <c r="AF3" s="76"/>
      <c r="AG3" s="64"/>
      <c r="AH3" s="64"/>
      <c r="AI3" s="64"/>
      <c r="AJ3" s="64"/>
      <c r="AK3" s="64"/>
      <c r="AL3" s="64"/>
      <c r="AM3" s="64"/>
      <c r="AX3" s="43" t="s">
        <v>247</v>
      </c>
    </row>
    <row r="4" spans="1:50" s="18" customFormat="1" ht="12">
      <c r="A4" s="36" t="s">
        <v>187</v>
      </c>
      <c r="B4" s="87"/>
      <c r="C4" s="87"/>
      <c r="D4" s="87"/>
      <c r="E4" s="87"/>
      <c r="F4" s="87"/>
      <c r="G4" s="87"/>
      <c r="H4" s="8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76"/>
      <c r="Y4" s="76"/>
      <c r="Z4" s="43"/>
      <c r="AA4" s="76"/>
      <c r="AB4" s="76"/>
      <c r="AC4" s="76"/>
      <c r="AD4" s="76"/>
      <c r="AE4" s="76"/>
      <c r="AF4" s="76"/>
      <c r="AG4" s="64"/>
      <c r="AH4" s="64"/>
      <c r="AI4" s="64"/>
      <c r="AJ4" s="64"/>
      <c r="AK4" s="64"/>
      <c r="AL4" s="64"/>
      <c r="AM4" s="64"/>
      <c r="AX4" s="36" t="s">
        <v>187</v>
      </c>
    </row>
    <row r="5" spans="1:50" s="18" customFormat="1" ht="12">
      <c r="A5" s="36"/>
      <c r="B5" s="87"/>
      <c r="C5" s="87"/>
      <c r="D5" s="87"/>
      <c r="E5" s="87"/>
      <c r="F5" s="87"/>
      <c r="G5" s="87"/>
      <c r="H5" s="8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6"/>
      <c r="AA5" s="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X5" s="36"/>
    </row>
    <row r="6" spans="1:62" s="18" customFormat="1" ht="12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9" t="s">
        <v>138</v>
      </c>
      <c r="P6" s="29"/>
      <c r="Q6" s="29"/>
      <c r="R6" s="29"/>
      <c r="S6" s="29"/>
      <c r="T6" s="29"/>
      <c r="U6" s="29"/>
      <c r="V6" s="30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29" t="s">
        <v>102</v>
      </c>
      <c r="BA6" s="29"/>
      <c r="BB6" s="29"/>
      <c r="BC6" s="29"/>
      <c r="BD6" s="29"/>
      <c r="BE6" s="29"/>
      <c r="BF6" s="29"/>
      <c r="BG6" s="30"/>
      <c r="BH6" s="30"/>
      <c r="BI6" s="30"/>
      <c r="BJ6" s="1"/>
    </row>
    <row r="7" spans="1:62" s="18" customFormat="1" ht="12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U7" s="9" t="s">
        <v>4</v>
      </c>
      <c r="V7" s="9"/>
      <c r="W7" s="91" t="s">
        <v>197</v>
      </c>
      <c r="X7" s="30"/>
      <c r="Y7" s="30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 t="s">
        <v>193</v>
      </c>
      <c r="AQ7" s="9"/>
      <c r="AR7" s="9" t="s">
        <v>155</v>
      </c>
      <c r="AS7" s="9"/>
      <c r="AT7" s="9" t="s">
        <v>155</v>
      </c>
      <c r="AU7" s="9"/>
      <c r="AV7" s="9"/>
      <c r="AW7" s="9"/>
      <c r="AX7" s="9"/>
      <c r="AY7" s="9"/>
      <c r="AZ7" s="9" t="s">
        <v>103</v>
      </c>
      <c r="BA7" s="9"/>
      <c r="BB7" s="9" t="s">
        <v>104</v>
      </c>
      <c r="BC7" s="9"/>
      <c r="BD7" s="9"/>
      <c r="BE7" s="9"/>
      <c r="BF7" s="9" t="s">
        <v>105</v>
      </c>
      <c r="BG7" s="9"/>
      <c r="BH7" s="9" t="s">
        <v>194</v>
      </c>
      <c r="BI7" s="9"/>
      <c r="BJ7" s="3" t="s">
        <v>4</v>
      </c>
    </row>
    <row r="8" spans="1:62" s="18" customFormat="1" ht="12">
      <c r="A8" s="8"/>
      <c r="B8" s="8"/>
      <c r="C8" s="9" t="s">
        <v>135</v>
      </c>
      <c r="D8" s="9"/>
      <c r="E8" s="9" t="s">
        <v>156</v>
      </c>
      <c r="F8" s="9"/>
      <c r="G8" s="9" t="s">
        <v>4</v>
      </c>
      <c r="H8" s="9"/>
      <c r="I8" s="9" t="s">
        <v>135</v>
      </c>
      <c r="J8" s="9"/>
      <c r="K8" s="9" t="s">
        <v>156</v>
      </c>
      <c r="L8" s="9"/>
      <c r="M8" s="9" t="s">
        <v>4</v>
      </c>
      <c r="N8" s="9"/>
      <c r="O8" s="9" t="s">
        <v>139</v>
      </c>
      <c r="P8" s="9"/>
      <c r="Q8" s="9"/>
      <c r="R8" s="9"/>
      <c r="S8" s="9"/>
      <c r="T8" s="9"/>
      <c r="U8" s="9" t="s">
        <v>240</v>
      </c>
      <c r="V8" s="9"/>
      <c r="W8" s="9"/>
      <c r="X8" s="9"/>
      <c r="Y8" s="9"/>
      <c r="Z8" s="9" t="s">
        <v>101</v>
      </c>
      <c r="AA8" s="9"/>
      <c r="AB8" s="9" t="s">
        <v>157</v>
      </c>
      <c r="AC8" s="9"/>
      <c r="AD8" s="9"/>
      <c r="AE8" s="9"/>
      <c r="AF8" s="9" t="s">
        <v>101</v>
      </c>
      <c r="AG8" s="9"/>
      <c r="AH8" s="9" t="s">
        <v>158</v>
      </c>
      <c r="AI8" s="9"/>
      <c r="AJ8" s="9" t="s">
        <v>101</v>
      </c>
      <c r="AK8" s="9"/>
      <c r="AL8" s="9" t="s">
        <v>101</v>
      </c>
      <c r="AM8" s="9"/>
      <c r="AN8" s="9" t="s">
        <v>87</v>
      </c>
      <c r="AO8" s="9"/>
      <c r="AP8" s="9" t="s">
        <v>239</v>
      </c>
      <c r="AQ8" s="9"/>
      <c r="AR8" s="9" t="s">
        <v>159</v>
      </c>
      <c r="AS8" s="9"/>
      <c r="AT8" s="9" t="s">
        <v>159</v>
      </c>
      <c r="AU8" s="9"/>
      <c r="AV8" s="9" t="s">
        <v>106</v>
      </c>
      <c r="AW8" s="9"/>
      <c r="AX8" s="9"/>
      <c r="AY8" s="9"/>
      <c r="AZ8" s="9" t="s">
        <v>107</v>
      </c>
      <c r="BA8" s="9"/>
      <c r="BB8" s="9" t="s">
        <v>12</v>
      </c>
      <c r="BC8" s="9"/>
      <c r="BD8" s="9"/>
      <c r="BE8" s="9"/>
      <c r="BF8" s="9" t="s">
        <v>108</v>
      </c>
      <c r="BG8" s="9"/>
      <c r="BH8" s="9" t="s">
        <v>195</v>
      </c>
      <c r="BI8" s="9"/>
      <c r="BJ8" s="3" t="s">
        <v>108</v>
      </c>
    </row>
    <row r="9" spans="1:62" s="18" customFormat="1" ht="12">
      <c r="A9" s="39" t="s">
        <v>5</v>
      </c>
      <c r="B9" s="8"/>
      <c r="C9" s="40" t="s">
        <v>116</v>
      </c>
      <c r="D9" s="9"/>
      <c r="E9" s="40" t="s">
        <v>116</v>
      </c>
      <c r="F9" s="9"/>
      <c r="G9" s="40" t="s">
        <v>116</v>
      </c>
      <c r="H9" s="9"/>
      <c r="I9" s="40" t="s">
        <v>122</v>
      </c>
      <c r="J9" s="9"/>
      <c r="K9" s="40" t="s">
        <v>122</v>
      </c>
      <c r="L9" s="9"/>
      <c r="M9" s="40" t="s">
        <v>122</v>
      </c>
      <c r="N9" s="9"/>
      <c r="O9" s="40" t="s">
        <v>141</v>
      </c>
      <c r="P9" s="9"/>
      <c r="Q9" s="40" t="s">
        <v>142</v>
      </c>
      <c r="R9" s="9"/>
      <c r="S9" s="40" t="s">
        <v>143</v>
      </c>
      <c r="T9" s="9"/>
      <c r="U9" s="40" t="s">
        <v>116</v>
      </c>
      <c r="V9" s="9"/>
      <c r="W9" s="9"/>
      <c r="X9" s="39" t="s">
        <v>5</v>
      </c>
      <c r="Y9" s="9"/>
      <c r="Z9" s="40" t="s">
        <v>12</v>
      </c>
      <c r="AA9" s="9"/>
      <c r="AB9" s="40" t="s">
        <v>109</v>
      </c>
      <c r="AC9" s="9"/>
      <c r="AD9" s="40" t="s">
        <v>109</v>
      </c>
      <c r="AE9" s="9"/>
      <c r="AF9" s="40" t="s">
        <v>110</v>
      </c>
      <c r="AG9" s="9"/>
      <c r="AH9" s="40" t="s">
        <v>160</v>
      </c>
      <c r="AI9" s="9"/>
      <c r="AJ9" s="40" t="s">
        <v>111</v>
      </c>
      <c r="AK9" s="9"/>
      <c r="AL9" s="40" t="s">
        <v>112</v>
      </c>
      <c r="AM9" s="9"/>
      <c r="AN9" s="40" t="s">
        <v>161</v>
      </c>
      <c r="AO9" s="9"/>
      <c r="AP9" s="40" t="s">
        <v>138</v>
      </c>
      <c r="AQ9" s="9"/>
      <c r="AR9" s="40" t="s">
        <v>162</v>
      </c>
      <c r="AS9" s="9"/>
      <c r="AT9" s="40" t="s">
        <v>163</v>
      </c>
      <c r="AU9" s="9"/>
      <c r="AV9" s="40" t="s">
        <v>87</v>
      </c>
      <c r="AW9" s="9"/>
      <c r="AX9" s="39" t="s">
        <v>5</v>
      </c>
      <c r="AY9" s="9"/>
      <c r="AZ9" s="40" t="s">
        <v>113</v>
      </c>
      <c r="BA9" s="9"/>
      <c r="BB9" s="40" t="s">
        <v>113</v>
      </c>
      <c r="BC9" s="9"/>
      <c r="BD9" s="40" t="s">
        <v>114</v>
      </c>
      <c r="BE9" s="9"/>
      <c r="BF9" s="40" t="s">
        <v>115</v>
      </c>
      <c r="BG9" s="9"/>
      <c r="BH9" s="40" t="s">
        <v>196</v>
      </c>
      <c r="BI9" s="9"/>
      <c r="BJ9" s="2" t="s">
        <v>122</v>
      </c>
    </row>
    <row r="10" spans="1:62" s="18" customFormat="1" ht="12" hidden="1">
      <c r="A10" s="76" t="s">
        <v>251</v>
      </c>
      <c r="B10" s="8"/>
      <c r="C10" s="17">
        <f>+G10-E10</f>
        <v>0</v>
      </c>
      <c r="D10" s="17"/>
      <c r="E10" s="17">
        <v>0</v>
      </c>
      <c r="F10" s="17"/>
      <c r="G10" s="17">
        <v>0</v>
      </c>
      <c r="H10" s="17"/>
      <c r="I10" s="17">
        <f>+M10-K10</f>
        <v>0</v>
      </c>
      <c r="J10" s="17"/>
      <c r="K10" s="17">
        <f aca="true" t="shared" si="0" ref="K10:K42">SUM(BJ10)</f>
        <v>0</v>
      </c>
      <c r="L10" s="17"/>
      <c r="M10" s="17">
        <v>0</v>
      </c>
      <c r="N10" s="17"/>
      <c r="O10" s="17">
        <v>0</v>
      </c>
      <c r="P10" s="17"/>
      <c r="Q10" s="17">
        <v>0</v>
      </c>
      <c r="R10" s="17"/>
      <c r="S10" s="17">
        <v>0</v>
      </c>
      <c r="T10" s="17"/>
      <c r="U10" s="17">
        <f>SUM(O10:S10)</f>
        <v>0</v>
      </c>
      <c r="V10" s="17"/>
      <c r="W10" s="17"/>
      <c r="X10" s="4" t="s">
        <v>251</v>
      </c>
      <c r="Y10" s="17"/>
      <c r="Z10" s="17">
        <v>0</v>
      </c>
      <c r="AA10" s="17"/>
      <c r="AB10" s="17">
        <v>0</v>
      </c>
      <c r="AC10" s="17"/>
      <c r="AD10" s="17">
        <v>0</v>
      </c>
      <c r="AE10" s="17"/>
      <c r="AF10" s="17">
        <f>+Z10-AB10-AD10</f>
        <v>0</v>
      </c>
      <c r="AG10" s="17"/>
      <c r="AH10" s="17">
        <v>0</v>
      </c>
      <c r="AI10" s="17"/>
      <c r="AJ10" s="17">
        <v>0</v>
      </c>
      <c r="AK10" s="17"/>
      <c r="AL10" s="17">
        <v>0</v>
      </c>
      <c r="AM10" s="17"/>
      <c r="AN10" s="17">
        <v>0</v>
      </c>
      <c r="AO10" s="17"/>
      <c r="AP10" s="17">
        <f>+AN10+AJ10+AH10+AF10-AL10</f>
        <v>0</v>
      </c>
      <c r="AQ10" s="17"/>
      <c r="AR10" s="17"/>
      <c r="AS10" s="17"/>
      <c r="AT10" s="17"/>
      <c r="AU10" s="17"/>
      <c r="AV10" s="17">
        <f>C10-I10</f>
        <v>0</v>
      </c>
      <c r="AW10" s="17"/>
      <c r="AX10" s="4" t="s">
        <v>251</v>
      </c>
      <c r="AY10" s="17"/>
      <c r="AZ10" s="17">
        <v>0</v>
      </c>
      <c r="BA10" s="17"/>
      <c r="BB10" s="17">
        <v>0</v>
      </c>
      <c r="BC10" s="17"/>
      <c r="BD10" s="17">
        <v>0</v>
      </c>
      <c r="BE10" s="17"/>
      <c r="BF10" s="17">
        <v>0</v>
      </c>
      <c r="BG10" s="17"/>
      <c r="BH10" s="17"/>
      <c r="BI10" s="17"/>
      <c r="BJ10" s="1">
        <f>SUM(AZ10:BF10)+BH10</f>
        <v>0</v>
      </c>
    </row>
    <row r="11" spans="1:62" s="18" customFormat="1" ht="12" hidden="1">
      <c r="A11" s="4" t="s">
        <v>13</v>
      </c>
      <c r="B11" s="4"/>
      <c r="C11" s="60">
        <f>+G11-E11</f>
        <v>0</v>
      </c>
      <c r="D11" s="17"/>
      <c r="E11" s="60">
        <v>0</v>
      </c>
      <c r="F11" s="17"/>
      <c r="G11" s="60">
        <v>0</v>
      </c>
      <c r="H11" s="17"/>
      <c r="I11" s="60">
        <f>+M11-K11</f>
        <v>0</v>
      </c>
      <c r="J11" s="17"/>
      <c r="K11" s="60">
        <f t="shared" si="0"/>
        <v>0</v>
      </c>
      <c r="L11" s="17"/>
      <c r="M11" s="60">
        <v>0</v>
      </c>
      <c r="N11" s="17"/>
      <c r="O11" s="60">
        <v>0</v>
      </c>
      <c r="P11" s="17"/>
      <c r="Q11" s="60">
        <v>0</v>
      </c>
      <c r="R11" s="17"/>
      <c r="S11" s="60">
        <v>0</v>
      </c>
      <c r="T11" s="17"/>
      <c r="U11" s="60">
        <f>SUM(O11:S11)</f>
        <v>0</v>
      </c>
      <c r="V11" s="17"/>
      <c r="W11" s="17"/>
      <c r="X11" s="4" t="s">
        <v>13</v>
      </c>
      <c r="Y11" s="17"/>
      <c r="Z11" s="60">
        <v>0</v>
      </c>
      <c r="AA11" s="17"/>
      <c r="AB11" s="60">
        <v>0</v>
      </c>
      <c r="AC11" s="17"/>
      <c r="AD11" s="60">
        <v>0</v>
      </c>
      <c r="AE11" s="17"/>
      <c r="AF11" s="60">
        <f>+Z11-AB11-AD11</f>
        <v>0</v>
      </c>
      <c r="AG11" s="17"/>
      <c r="AH11" s="60">
        <v>0</v>
      </c>
      <c r="AI11" s="17"/>
      <c r="AJ11" s="60">
        <v>0</v>
      </c>
      <c r="AK11" s="17"/>
      <c r="AL11" s="60">
        <v>0</v>
      </c>
      <c r="AM11" s="17"/>
      <c r="AN11" s="60">
        <v>0</v>
      </c>
      <c r="AO11" s="17"/>
      <c r="AP11" s="60">
        <f>+AN11+AJ11+AH11+AF11-AL11</f>
        <v>0</v>
      </c>
      <c r="AQ11" s="17"/>
      <c r="AR11" s="17">
        <v>0</v>
      </c>
      <c r="AS11" s="17"/>
      <c r="AT11" s="17">
        <v>0</v>
      </c>
      <c r="AU11" s="17"/>
      <c r="AV11" s="60">
        <f>C11-I11</f>
        <v>0</v>
      </c>
      <c r="AW11" s="17"/>
      <c r="AX11" s="4" t="s">
        <v>13</v>
      </c>
      <c r="AY11" s="17"/>
      <c r="AZ11" s="60">
        <v>0</v>
      </c>
      <c r="BA11" s="17"/>
      <c r="BB11" s="60">
        <v>0</v>
      </c>
      <c r="BC11" s="17"/>
      <c r="BD11" s="60">
        <v>0</v>
      </c>
      <c r="BE11" s="17"/>
      <c r="BF11" s="60">
        <v>0</v>
      </c>
      <c r="BG11" s="17"/>
      <c r="BH11" s="17"/>
      <c r="BI11" s="17"/>
      <c r="BJ11" s="67">
        <f>SUM(AZ11:BF11)+BH11</f>
        <v>0</v>
      </c>
    </row>
    <row r="12" spans="1:62" s="18" customFormat="1" ht="12" hidden="1">
      <c r="A12" s="4" t="s">
        <v>14</v>
      </c>
      <c r="B12" s="4"/>
      <c r="C12" s="17">
        <f aca="true" t="shared" si="1" ref="C12:C75">+G12-E12</f>
        <v>0</v>
      </c>
      <c r="D12" s="17"/>
      <c r="E12" s="17">
        <v>0</v>
      </c>
      <c r="F12" s="17"/>
      <c r="G12" s="17">
        <v>0</v>
      </c>
      <c r="H12" s="17"/>
      <c r="I12" s="17">
        <f>+M12-K12</f>
        <v>0</v>
      </c>
      <c r="J12" s="17"/>
      <c r="K12" s="17">
        <f t="shared" si="0"/>
        <v>0</v>
      </c>
      <c r="L12" s="17"/>
      <c r="M12" s="17">
        <v>0</v>
      </c>
      <c r="N12" s="17"/>
      <c r="O12" s="17">
        <v>0</v>
      </c>
      <c r="P12" s="17"/>
      <c r="Q12" s="17">
        <v>0</v>
      </c>
      <c r="R12" s="17"/>
      <c r="S12" s="17">
        <v>0</v>
      </c>
      <c r="T12" s="17"/>
      <c r="U12" s="17">
        <f aca="true" t="shared" si="2" ref="U12:U75">SUM(O12:S12)</f>
        <v>0</v>
      </c>
      <c r="V12" s="17"/>
      <c r="W12" s="17"/>
      <c r="X12" s="4" t="s">
        <v>14</v>
      </c>
      <c r="Y12" s="17"/>
      <c r="Z12" s="17">
        <v>0</v>
      </c>
      <c r="AA12" s="17"/>
      <c r="AB12" s="17">
        <v>0</v>
      </c>
      <c r="AC12" s="17"/>
      <c r="AD12" s="17">
        <v>0</v>
      </c>
      <c r="AE12" s="17"/>
      <c r="AF12" s="17">
        <f aca="true" t="shared" si="3" ref="AF12:AF75">+Z12-AB12-AD12</f>
        <v>0</v>
      </c>
      <c r="AG12" s="17"/>
      <c r="AH12" s="17">
        <v>0</v>
      </c>
      <c r="AI12" s="17"/>
      <c r="AJ12" s="17">
        <v>0</v>
      </c>
      <c r="AK12" s="17"/>
      <c r="AL12" s="17">
        <v>0</v>
      </c>
      <c r="AM12" s="17"/>
      <c r="AN12" s="17">
        <v>0</v>
      </c>
      <c r="AO12" s="17"/>
      <c r="AP12" s="17">
        <f aca="true" t="shared" si="4" ref="AP12:AP75">+AN12+AJ12+AH12+AF12-AL12</f>
        <v>0</v>
      </c>
      <c r="AQ12" s="17"/>
      <c r="AR12" s="17">
        <v>0</v>
      </c>
      <c r="AS12" s="17"/>
      <c r="AT12" s="17">
        <v>0</v>
      </c>
      <c r="AU12" s="17"/>
      <c r="AV12" s="17">
        <f aca="true" t="shared" si="5" ref="AV12:AV75">C12-I12</f>
        <v>0</v>
      </c>
      <c r="AW12" s="17"/>
      <c r="AX12" s="4" t="s">
        <v>14</v>
      </c>
      <c r="AY12" s="17"/>
      <c r="AZ12" s="17">
        <v>0</v>
      </c>
      <c r="BA12" s="17"/>
      <c r="BB12" s="17">
        <v>0</v>
      </c>
      <c r="BC12" s="17"/>
      <c r="BD12" s="17">
        <v>0</v>
      </c>
      <c r="BE12" s="17"/>
      <c r="BF12" s="17">
        <v>0</v>
      </c>
      <c r="BG12" s="17"/>
      <c r="BH12" s="17"/>
      <c r="BI12" s="17"/>
      <c r="BJ12" s="1">
        <f aca="true" t="shared" si="6" ref="BJ12:BJ75">SUM(AZ12:BF12)+BH12</f>
        <v>0</v>
      </c>
    </row>
    <row r="13" spans="1:62" s="18" customFormat="1" ht="12">
      <c r="A13" s="4" t="s">
        <v>15</v>
      </c>
      <c r="B13" s="4"/>
      <c r="C13" s="60">
        <f t="shared" si="1"/>
        <v>2281809</v>
      </c>
      <c r="D13" s="60"/>
      <c r="E13" s="60">
        <v>21200421</v>
      </c>
      <c r="F13" s="60"/>
      <c r="G13" s="60">
        <v>23482230</v>
      </c>
      <c r="H13" s="60"/>
      <c r="I13" s="60">
        <f>+M13-K13</f>
        <v>872176</v>
      </c>
      <c r="J13" s="60"/>
      <c r="K13" s="60">
        <f t="shared" si="0"/>
        <v>19652604</v>
      </c>
      <c r="L13" s="60"/>
      <c r="M13" s="60">
        <v>20524780</v>
      </c>
      <c r="N13" s="60"/>
      <c r="O13" s="60">
        <v>1092810</v>
      </c>
      <c r="P13" s="60"/>
      <c r="Q13" s="60">
        <v>0</v>
      </c>
      <c r="R13" s="60"/>
      <c r="S13" s="60">
        <v>1864640</v>
      </c>
      <c r="T13" s="60"/>
      <c r="U13" s="60">
        <f t="shared" si="2"/>
        <v>2957450</v>
      </c>
      <c r="V13" s="17">
        <f>G13-M13-U13</f>
        <v>0</v>
      </c>
      <c r="W13" s="17"/>
      <c r="X13" s="4" t="s">
        <v>15</v>
      </c>
      <c r="Y13" s="17"/>
      <c r="Z13" s="60">
        <v>5078648</v>
      </c>
      <c r="AA13" s="60"/>
      <c r="AB13" s="60">
        <f>4648282-808928</f>
        <v>3839354</v>
      </c>
      <c r="AC13" s="60"/>
      <c r="AD13" s="60">
        <v>808928</v>
      </c>
      <c r="AE13" s="60"/>
      <c r="AF13" s="60">
        <f t="shared" si="3"/>
        <v>430366</v>
      </c>
      <c r="AG13" s="17"/>
      <c r="AH13" s="60">
        <v>-773540</v>
      </c>
      <c r="AI13" s="60"/>
      <c r="AJ13" s="60">
        <v>0</v>
      </c>
      <c r="AK13" s="60"/>
      <c r="AL13" s="60">
        <v>1500</v>
      </c>
      <c r="AM13" s="60"/>
      <c r="AN13" s="60">
        <v>490000</v>
      </c>
      <c r="AO13" s="60"/>
      <c r="AP13" s="60">
        <f t="shared" si="4"/>
        <v>145326</v>
      </c>
      <c r="AQ13" s="60"/>
      <c r="AR13" s="60">
        <v>0</v>
      </c>
      <c r="AS13" s="60"/>
      <c r="AT13" s="60">
        <v>0</v>
      </c>
      <c r="AU13" s="60"/>
      <c r="AV13" s="60">
        <f t="shared" si="5"/>
        <v>1409633</v>
      </c>
      <c r="AW13" s="17"/>
      <c r="AX13" s="4" t="s">
        <v>15</v>
      </c>
      <c r="AY13" s="17"/>
      <c r="AZ13" s="60">
        <v>0</v>
      </c>
      <c r="BA13" s="60"/>
      <c r="BB13" s="60">
        <v>5067000</v>
      </c>
      <c r="BC13" s="60"/>
      <c r="BD13" s="60">
        <f>13911710+657973</f>
        <v>14569683</v>
      </c>
      <c r="BE13" s="60"/>
      <c r="BF13" s="60">
        <v>15921</v>
      </c>
      <c r="BG13" s="60"/>
      <c r="BH13" s="60"/>
      <c r="BI13" s="60"/>
      <c r="BJ13" s="60">
        <f t="shared" si="6"/>
        <v>19652604</v>
      </c>
    </row>
    <row r="14" spans="1:62" s="18" customFormat="1" ht="12">
      <c r="A14" s="4" t="s">
        <v>16</v>
      </c>
      <c r="B14" s="4"/>
      <c r="C14" s="17">
        <f t="shared" si="1"/>
        <v>696345</v>
      </c>
      <c r="D14" s="17"/>
      <c r="E14" s="17">
        <v>720087</v>
      </c>
      <c r="F14" s="17"/>
      <c r="G14" s="17">
        <v>1416432</v>
      </c>
      <c r="H14" s="17"/>
      <c r="I14" s="17">
        <f aca="true" t="shared" si="7" ref="I14:I22">+M14-K14</f>
        <v>73012</v>
      </c>
      <c r="J14" s="17"/>
      <c r="K14" s="17">
        <f t="shared" si="0"/>
        <v>108953</v>
      </c>
      <c r="L14" s="17"/>
      <c r="M14" s="17">
        <v>181965</v>
      </c>
      <c r="N14" s="17"/>
      <c r="O14" s="17">
        <v>607963</v>
      </c>
      <c r="P14" s="17"/>
      <c r="Q14" s="17">
        <v>0</v>
      </c>
      <c r="R14" s="17"/>
      <c r="S14" s="17">
        <v>626504</v>
      </c>
      <c r="T14" s="17"/>
      <c r="U14" s="17">
        <f t="shared" si="2"/>
        <v>1234467</v>
      </c>
      <c r="V14" s="17"/>
      <c r="W14" s="17"/>
      <c r="X14" s="4" t="s">
        <v>16</v>
      </c>
      <c r="Y14" s="17"/>
      <c r="Z14" s="17">
        <v>645078</v>
      </c>
      <c r="AA14" s="17"/>
      <c r="AB14" s="17">
        <f>748998-40993</f>
        <v>708005</v>
      </c>
      <c r="AC14" s="17"/>
      <c r="AD14" s="17">
        <v>40993</v>
      </c>
      <c r="AE14" s="17"/>
      <c r="AF14" s="17">
        <f t="shared" si="3"/>
        <v>-103920</v>
      </c>
      <c r="AG14" s="17"/>
      <c r="AH14" s="17">
        <v>-4303</v>
      </c>
      <c r="AI14" s="17"/>
      <c r="AJ14" s="17">
        <v>0</v>
      </c>
      <c r="AK14" s="17"/>
      <c r="AL14" s="17">
        <v>0</v>
      </c>
      <c r="AM14" s="17"/>
      <c r="AN14" s="17">
        <v>0</v>
      </c>
      <c r="AO14" s="17"/>
      <c r="AP14" s="17">
        <f t="shared" si="4"/>
        <v>-108223</v>
      </c>
      <c r="AQ14" s="17"/>
      <c r="AR14" s="17">
        <v>0</v>
      </c>
      <c r="AS14" s="17"/>
      <c r="AT14" s="17">
        <v>0</v>
      </c>
      <c r="AU14" s="17"/>
      <c r="AV14" s="17">
        <f t="shared" si="5"/>
        <v>623333</v>
      </c>
      <c r="AW14" s="17"/>
      <c r="AX14" s="4" t="s">
        <v>16</v>
      </c>
      <c r="AY14" s="17"/>
      <c r="AZ14" s="17">
        <v>0</v>
      </c>
      <c r="BA14" s="17"/>
      <c r="BB14" s="17">
        <v>0</v>
      </c>
      <c r="BC14" s="17"/>
      <c r="BD14" s="17">
        <v>108953</v>
      </c>
      <c r="BE14" s="17"/>
      <c r="BF14" s="17">
        <v>0</v>
      </c>
      <c r="BG14" s="17"/>
      <c r="BH14" s="17"/>
      <c r="BI14" s="17"/>
      <c r="BJ14" s="1">
        <f t="shared" si="6"/>
        <v>108953</v>
      </c>
    </row>
    <row r="15" spans="1:62" s="18" customFormat="1" ht="12" hidden="1">
      <c r="A15" s="4" t="s">
        <v>17</v>
      </c>
      <c r="B15" s="4"/>
      <c r="C15" s="17">
        <f t="shared" si="1"/>
        <v>0</v>
      </c>
      <c r="D15" s="17"/>
      <c r="E15" s="17">
        <v>0</v>
      </c>
      <c r="F15" s="17"/>
      <c r="G15" s="17">
        <v>0</v>
      </c>
      <c r="H15" s="17"/>
      <c r="I15" s="17">
        <f t="shared" si="7"/>
        <v>0</v>
      </c>
      <c r="J15" s="17"/>
      <c r="K15" s="17">
        <f t="shared" si="0"/>
        <v>0</v>
      </c>
      <c r="L15" s="17"/>
      <c r="M15" s="17">
        <v>0</v>
      </c>
      <c r="N15" s="17"/>
      <c r="O15" s="17">
        <v>0</v>
      </c>
      <c r="P15" s="17"/>
      <c r="Q15" s="17">
        <v>0</v>
      </c>
      <c r="R15" s="17"/>
      <c r="S15" s="17">
        <v>0</v>
      </c>
      <c r="T15" s="17"/>
      <c r="U15" s="17">
        <f t="shared" si="2"/>
        <v>0</v>
      </c>
      <c r="V15" s="17"/>
      <c r="W15" s="17"/>
      <c r="X15" s="4" t="s">
        <v>17</v>
      </c>
      <c r="Y15" s="17"/>
      <c r="Z15" s="17">
        <v>0</v>
      </c>
      <c r="AA15" s="17"/>
      <c r="AB15" s="17">
        <v>0</v>
      </c>
      <c r="AC15" s="17"/>
      <c r="AD15" s="17">
        <v>0</v>
      </c>
      <c r="AE15" s="17"/>
      <c r="AF15" s="17">
        <f t="shared" si="3"/>
        <v>0</v>
      </c>
      <c r="AG15" s="17"/>
      <c r="AH15" s="17">
        <v>0</v>
      </c>
      <c r="AI15" s="17"/>
      <c r="AJ15" s="17">
        <v>0</v>
      </c>
      <c r="AK15" s="17"/>
      <c r="AL15" s="17">
        <v>0</v>
      </c>
      <c r="AM15" s="17"/>
      <c r="AN15" s="17">
        <v>0</v>
      </c>
      <c r="AO15" s="17"/>
      <c r="AP15" s="17">
        <f t="shared" si="4"/>
        <v>0</v>
      </c>
      <c r="AQ15" s="17"/>
      <c r="AR15" s="17">
        <v>0</v>
      </c>
      <c r="AS15" s="17"/>
      <c r="AT15" s="17">
        <v>0</v>
      </c>
      <c r="AU15" s="17"/>
      <c r="AV15" s="17">
        <f t="shared" si="5"/>
        <v>0</v>
      </c>
      <c r="AW15" s="17"/>
      <c r="AX15" s="4" t="s">
        <v>17</v>
      </c>
      <c r="AY15" s="17"/>
      <c r="AZ15" s="17">
        <v>0</v>
      </c>
      <c r="BA15" s="17"/>
      <c r="BB15" s="17">
        <v>0</v>
      </c>
      <c r="BC15" s="17"/>
      <c r="BD15" s="17">
        <v>0</v>
      </c>
      <c r="BE15" s="17"/>
      <c r="BF15" s="17">
        <v>0</v>
      </c>
      <c r="BG15" s="17"/>
      <c r="BH15" s="17"/>
      <c r="BI15" s="17"/>
      <c r="BJ15" s="1">
        <f t="shared" si="6"/>
        <v>0</v>
      </c>
    </row>
    <row r="16" spans="1:62" s="18" customFormat="1" ht="12">
      <c r="A16" s="4" t="s">
        <v>18</v>
      </c>
      <c r="B16" s="4"/>
      <c r="C16" s="17">
        <f t="shared" si="1"/>
        <v>4741527</v>
      </c>
      <c r="D16" s="17"/>
      <c r="E16" s="17">
        <f>21952564+26571+349055</f>
        <v>22328190</v>
      </c>
      <c r="F16" s="17"/>
      <c r="G16" s="17">
        <f>25173545+212337+1683835</f>
        <v>27069717</v>
      </c>
      <c r="H16" s="17"/>
      <c r="I16" s="17">
        <f t="shared" si="7"/>
        <v>1159609</v>
      </c>
      <c r="J16" s="17"/>
      <c r="K16" s="17">
        <f t="shared" si="0"/>
        <v>11424253</v>
      </c>
      <c r="L16" s="17"/>
      <c r="M16" s="17">
        <f>12017220+229065+337577</f>
        <v>12583862</v>
      </c>
      <c r="N16" s="17"/>
      <c r="O16" s="17">
        <f>9957743+26571+335443</f>
        <v>10319757</v>
      </c>
      <c r="P16" s="17"/>
      <c r="Q16" s="17">
        <v>382640</v>
      </c>
      <c r="R16" s="17"/>
      <c r="S16" s="17">
        <f>2815942+1010815-43299</f>
        <v>3783458</v>
      </c>
      <c r="T16" s="17"/>
      <c r="U16" s="17">
        <f t="shared" si="2"/>
        <v>14485855</v>
      </c>
      <c r="V16" s="17">
        <f>G16-M16-U16</f>
        <v>0</v>
      </c>
      <c r="W16" s="17"/>
      <c r="X16" s="4" t="s">
        <v>18</v>
      </c>
      <c r="Y16" s="17"/>
      <c r="Z16" s="17">
        <f>2578437+206022+865211</f>
        <v>3649670</v>
      </c>
      <c r="AA16" s="17"/>
      <c r="AB16" s="17">
        <f>2340374-791114+390761-2790+573443-17676</f>
        <v>2492998</v>
      </c>
      <c r="AC16" s="17"/>
      <c r="AD16" s="17">
        <f>791114+2790+17676</f>
        <v>811580</v>
      </c>
      <c r="AE16" s="17"/>
      <c r="AF16" s="17">
        <f t="shared" si="3"/>
        <v>345092</v>
      </c>
      <c r="AG16" s="17"/>
      <c r="AH16" s="17">
        <f>-402274+3710+15360</f>
        <v>-383204</v>
      </c>
      <c r="AI16" s="17"/>
      <c r="AJ16" s="17">
        <f>620</f>
        <v>620</v>
      </c>
      <c r="AK16" s="17"/>
      <c r="AL16" s="17">
        <v>0</v>
      </c>
      <c r="AM16" s="17"/>
      <c r="AN16" s="17">
        <f>27606+5283+12350</f>
        <v>45239</v>
      </c>
      <c r="AO16" s="17"/>
      <c r="AP16" s="17">
        <f t="shared" si="4"/>
        <v>7747</v>
      </c>
      <c r="AQ16" s="17"/>
      <c r="AR16" s="17">
        <v>0</v>
      </c>
      <c r="AS16" s="17"/>
      <c r="AT16" s="17">
        <v>0</v>
      </c>
      <c r="AU16" s="17"/>
      <c r="AV16" s="17">
        <f t="shared" si="5"/>
        <v>3581918</v>
      </c>
      <c r="AW16" s="17"/>
      <c r="AX16" s="4" t="s">
        <v>18</v>
      </c>
      <c r="AY16" s="17"/>
      <c r="AZ16" s="17">
        <f>358006</f>
        <v>358006</v>
      </c>
      <c r="BA16" s="17"/>
      <c r="BB16" s="17">
        <f>6631000</f>
        <v>6631000</v>
      </c>
      <c r="BC16" s="17"/>
      <c r="BD16" s="17">
        <f>25092</f>
        <v>25092</v>
      </c>
      <c r="BE16" s="17"/>
      <c r="BF16" s="17">
        <f>33578+52840+4300000+23737</f>
        <v>4410155</v>
      </c>
      <c r="BG16" s="17"/>
      <c r="BH16" s="17"/>
      <c r="BI16" s="17"/>
      <c r="BJ16" s="1">
        <f t="shared" si="6"/>
        <v>11424253</v>
      </c>
    </row>
    <row r="17" spans="1:62" s="18" customFormat="1" ht="12" hidden="1">
      <c r="A17" s="4" t="s">
        <v>254</v>
      </c>
      <c r="B17" s="4"/>
      <c r="C17" s="17">
        <f t="shared" si="1"/>
        <v>0</v>
      </c>
      <c r="D17" s="17"/>
      <c r="E17" s="17"/>
      <c r="F17" s="17"/>
      <c r="G17" s="17"/>
      <c r="H17" s="17"/>
      <c r="I17" s="17">
        <f t="shared" si="7"/>
        <v>0</v>
      </c>
      <c r="J17" s="17"/>
      <c r="K17" s="17">
        <f t="shared" si="0"/>
        <v>0</v>
      </c>
      <c r="L17" s="17"/>
      <c r="M17" s="17"/>
      <c r="N17" s="17"/>
      <c r="O17" s="17"/>
      <c r="P17" s="17"/>
      <c r="Q17" s="17"/>
      <c r="R17" s="17"/>
      <c r="S17" s="17"/>
      <c r="T17" s="17"/>
      <c r="U17" s="17">
        <f t="shared" si="2"/>
        <v>0</v>
      </c>
      <c r="V17" s="17">
        <f aca="true" t="shared" si="8" ref="V17:V22">G17-M17-U17</f>
        <v>0</v>
      </c>
      <c r="W17" s="17"/>
      <c r="X17" s="4" t="s">
        <v>96</v>
      </c>
      <c r="Y17" s="17"/>
      <c r="Z17" s="17"/>
      <c r="AA17" s="17"/>
      <c r="AB17" s="17"/>
      <c r="AC17" s="17"/>
      <c r="AD17" s="17"/>
      <c r="AE17" s="17"/>
      <c r="AF17" s="17">
        <f t="shared" si="3"/>
        <v>0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>
        <f t="shared" si="4"/>
        <v>0</v>
      </c>
      <c r="AQ17" s="17"/>
      <c r="AR17" s="17">
        <v>0</v>
      </c>
      <c r="AS17" s="17"/>
      <c r="AT17" s="17">
        <v>0</v>
      </c>
      <c r="AU17" s="17"/>
      <c r="AV17" s="17">
        <f t="shared" si="5"/>
        <v>0</v>
      </c>
      <c r="AW17" s="17"/>
      <c r="AX17" s="4" t="s">
        <v>96</v>
      </c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">
        <f t="shared" si="6"/>
        <v>0</v>
      </c>
    </row>
    <row r="18" spans="1:62" s="18" customFormat="1" ht="12">
      <c r="A18" s="4" t="s">
        <v>19</v>
      </c>
      <c r="B18" s="4"/>
      <c r="C18" s="17">
        <f t="shared" si="1"/>
        <v>25850220</v>
      </c>
      <c r="D18" s="17"/>
      <c r="E18" s="17">
        <v>144879514</v>
      </c>
      <c r="F18" s="17"/>
      <c r="G18" s="17">
        <v>170729734</v>
      </c>
      <c r="H18" s="17"/>
      <c r="I18" s="17">
        <f t="shared" si="7"/>
        <v>1996657</v>
      </c>
      <c r="J18" s="17"/>
      <c r="K18" s="17">
        <f t="shared" si="0"/>
        <v>77975540</v>
      </c>
      <c r="L18" s="17"/>
      <c r="M18" s="17">
        <v>79972197</v>
      </c>
      <c r="N18" s="17"/>
      <c r="O18" s="17">
        <v>73867238</v>
      </c>
      <c r="P18" s="17"/>
      <c r="Q18" s="17">
        <f>1388432+2000000</f>
        <v>3388432</v>
      </c>
      <c r="R18" s="17"/>
      <c r="S18" s="17">
        <v>13501867</v>
      </c>
      <c r="T18" s="17"/>
      <c r="U18" s="17">
        <f t="shared" si="2"/>
        <v>90757537</v>
      </c>
      <c r="V18" s="17">
        <f t="shared" si="8"/>
        <v>0</v>
      </c>
      <c r="W18" s="17"/>
      <c r="X18" s="4" t="s">
        <v>19</v>
      </c>
      <c r="Y18" s="17"/>
      <c r="Z18" s="17">
        <v>22186770</v>
      </c>
      <c r="AA18" s="17"/>
      <c r="AB18" s="17">
        <f>22290343-5654005</f>
        <v>16636338</v>
      </c>
      <c r="AC18" s="17"/>
      <c r="AD18" s="17">
        <v>5654005</v>
      </c>
      <c r="AE18" s="17"/>
      <c r="AF18" s="17">
        <f t="shared" si="3"/>
        <v>-103573</v>
      </c>
      <c r="AG18" s="17"/>
      <c r="AH18" s="17">
        <v>-2955487</v>
      </c>
      <c r="AI18" s="17"/>
      <c r="AJ18" s="17">
        <v>0</v>
      </c>
      <c r="AK18" s="17"/>
      <c r="AL18" s="17">
        <v>0</v>
      </c>
      <c r="AM18" s="17"/>
      <c r="AN18" s="17">
        <v>6173802</v>
      </c>
      <c r="AO18" s="17"/>
      <c r="AP18" s="17">
        <f t="shared" si="4"/>
        <v>3114742</v>
      </c>
      <c r="AQ18" s="17"/>
      <c r="AR18" s="17">
        <v>0</v>
      </c>
      <c r="AS18" s="17"/>
      <c r="AT18" s="17">
        <v>0</v>
      </c>
      <c r="AU18" s="17"/>
      <c r="AV18" s="17">
        <f t="shared" si="5"/>
        <v>23853563</v>
      </c>
      <c r="AW18" s="17"/>
      <c r="AX18" s="4" t="s">
        <v>19</v>
      </c>
      <c r="AY18" s="17"/>
      <c r="AZ18" s="17">
        <f>0</f>
        <v>0</v>
      </c>
      <c r="BA18" s="17"/>
      <c r="BB18" s="17">
        <f>1955000+815000+36273836+33295351</f>
        <v>72339187</v>
      </c>
      <c r="BC18" s="17"/>
      <c r="BD18" s="17">
        <f>194392+5015082</f>
        <v>5209474</v>
      </c>
      <c r="BE18" s="17"/>
      <c r="BF18" s="17">
        <f>104345+208789+113745</f>
        <v>426879</v>
      </c>
      <c r="BG18" s="17"/>
      <c r="BH18" s="17"/>
      <c r="BI18" s="17"/>
      <c r="BJ18" s="1">
        <f t="shared" si="6"/>
        <v>77975540</v>
      </c>
    </row>
    <row r="19" spans="1:62" s="18" customFormat="1" ht="12" hidden="1">
      <c r="A19" s="4" t="s">
        <v>20</v>
      </c>
      <c r="B19" s="4"/>
      <c r="C19" s="17">
        <f t="shared" si="1"/>
        <v>0</v>
      </c>
      <c r="D19" s="17"/>
      <c r="E19" s="17">
        <v>0</v>
      </c>
      <c r="F19" s="17"/>
      <c r="G19" s="17">
        <v>0</v>
      </c>
      <c r="H19" s="17"/>
      <c r="I19" s="17">
        <f t="shared" si="7"/>
        <v>0</v>
      </c>
      <c r="J19" s="17"/>
      <c r="K19" s="17">
        <f t="shared" si="0"/>
        <v>0</v>
      </c>
      <c r="L19" s="17"/>
      <c r="M19" s="17">
        <v>0</v>
      </c>
      <c r="N19" s="17"/>
      <c r="O19" s="17">
        <v>0</v>
      </c>
      <c r="P19" s="17"/>
      <c r="Q19" s="17">
        <v>0</v>
      </c>
      <c r="R19" s="17"/>
      <c r="S19" s="17">
        <v>0</v>
      </c>
      <c r="T19" s="17"/>
      <c r="U19" s="17">
        <f t="shared" si="2"/>
        <v>0</v>
      </c>
      <c r="V19" s="17"/>
      <c r="W19" s="17"/>
      <c r="X19" s="4" t="s">
        <v>20</v>
      </c>
      <c r="Y19" s="17"/>
      <c r="Z19" s="17">
        <v>0</v>
      </c>
      <c r="AA19" s="17"/>
      <c r="AB19" s="17">
        <v>0</v>
      </c>
      <c r="AC19" s="17"/>
      <c r="AD19" s="17">
        <v>0</v>
      </c>
      <c r="AE19" s="17"/>
      <c r="AF19" s="17">
        <f t="shared" si="3"/>
        <v>0</v>
      </c>
      <c r="AG19" s="17"/>
      <c r="AH19" s="17">
        <v>0</v>
      </c>
      <c r="AI19" s="17"/>
      <c r="AJ19" s="17">
        <v>0</v>
      </c>
      <c r="AK19" s="17"/>
      <c r="AL19" s="17">
        <v>0</v>
      </c>
      <c r="AM19" s="17"/>
      <c r="AN19" s="17">
        <v>0</v>
      </c>
      <c r="AO19" s="17"/>
      <c r="AP19" s="17">
        <f t="shared" si="4"/>
        <v>0</v>
      </c>
      <c r="AQ19" s="17"/>
      <c r="AR19" s="17"/>
      <c r="AS19" s="17"/>
      <c r="AT19" s="17"/>
      <c r="AU19" s="17"/>
      <c r="AV19" s="17">
        <f t="shared" si="5"/>
        <v>0</v>
      </c>
      <c r="AW19" s="17"/>
      <c r="AX19" s="4" t="s">
        <v>20</v>
      </c>
      <c r="AY19" s="17"/>
      <c r="AZ19" s="17">
        <v>0</v>
      </c>
      <c r="BA19" s="17"/>
      <c r="BB19" s="17">
        <v>0</v>
      </c>
      <c r="BC19" s="17"/>
      <c r="BD19" s="17">
        <v>0</v>
      </c>
      <c r="BE19" s="17"/>
      <c r="BF19" s="17">
        <v>0</v>
      </c>
      <c r="BG19" s="17"/>
      <c r="BH19" s="17"/>
      <c r="BI19" s="17"/>
      <c r="BJ19" s="1">
        <f t="shared" si="6"/>
        <v>0</v>
      </c>
    </row>
    <row r="20" spans="1:62" s="18" customFormat="1" ht="12" hidden="1">
      <c r="A20" s="4" t="s">
        <v>173</v>
      </c>
      <c r="B20" s="4"/>
      <c r="C20" s="17">
        <f t="shared" si="1"/>
        <v>0</v>
      </c>
      <c r="D20" s="17"/>
      <c r="E20" s="17">
        <v>0</v>
      </c>
      <c r="F20" s="17"/>
      <c r="G20" s="17">
        <v>0</v>
      </c>
      <c r="H20" s="17"/>
      <c r="I20" s="17">
        <f t="shared" si="7"/>
        <v>0</v>
      </c>
      <c r="J20" s="17"/>
      <c r="K20" s="17">
        <f t="shared" si="0"/>
        <v>0</v>
      </c>
      <c r="L20" s="17"/>
      <c r="M20" s="17">
        <v>0</v>
      </c>
      <c r="N20" s="17"/>
      <c r="O20" s="17">
        <v>0</v>
      </c>
      <c r="P20" s="17"/>
      <c r="Q20" s="17">
        <v>0</v>
      </c>
      <c r="R20" s="17"/>
      <c r="S20" s="17">
        <v>0</v>
      </c>
      <c r="T20" s="17"/>
      <c r="U20" s="17">
        <f t="shared" si="2"/>
        <v>0</v>
      </c>
      <c r="V20" s="17">
        <f t="shared" si="8"/>
        <v>0</v>
      </c>
      <c r="W20" s="17"/>
      <c r="X20" s="4" t="s">
        <v>173</v>
      </c>
      <c r="Y20" s="17"/>
      <c r="Z20" s="17">
        <v>0</v>
      </c>
      <c r="AA20" s="17"/>
      <c r="AB20" s="17">
        <v>0</v>
      </c>
      <c r="AC20" s="17"/>
      <c r="AD20" s="17">
        <v>0</v>
      </c>
      <c r="AE20" s="17"/>
      <c r="AF20" s="17">
        <f t="shared" si="3"/>
        <v>0</v>
      </c>
      <c r="AG20" s="17"/>
      <c r="AH20" s="17">
        <v>0</v>
      </c>
      <c r="AI20" s="17"/>
      <c r="AJ20" s="17">
        <v>0</v>
      </c>
      <c r="AK20" s="17"/>
      <c r="AL20" s="17">
        <v>0</v>
      </c>
      <c r="AM20" s="17"/>
      <c r="AN20" s="17"/>
      <c r="AO20" s="17"/>
      <c r="AP20" s="17">
        <f t="shared" si="4"/>
        <v>0</v>
      </c>
      <c r="AQ20" s="17"/>
      <c r="AR20" s="17">
        <v>0</v>
      </c>
      <c r="AS20" s="17"/>
      <c r="AT20" s="17">
        <v>0</v>
      </c>
      <c r="AU20" s="17"/>
      <c r="AV20" s="17">
        <f t="shared" si="5"/>
        <v>0</v>
      </c>
      <c r="AW20" s="17"/>
      <c r="AX20" s="4" t="s">
        <v>173</v>
      </c>
      <c r="AY20" s="17"/>
      <c r="AZ20" s="17">
        <v>0</v>
      </c>
      <c r="BA20" s="17"/>
      <c r="BB20" s="17">
        <v>0</v>
      </c>
      <c r="BC20" s="17"/>
      <c r="BD20" s="17">
        <v>0</v>
      </c>
      <c r="BE20" s="17"/>
      <c r="BF20" s="17">
        <v>0</v>
      </c>
      <c r="BG20" s="17"/>
      <c r="BH20" s="17"/>
      <c r="BI20" s="17"/>
      <c r="BJ20" s="1">
        <f t="shared" si="6"/>
        <v>0</v>
      </c>
    </row>
    <row r="21" spans="1:62" s="18" customFormat="1" ht="12">
      <c r="A21" s="4" t="s">
        <v>21</v>
      </c>
      <c r="B21" s="4"/>
      <c r="C21" s="17">
        <f t="shared" si="1"/>
        <v>2326006</v>
      </c>
      <c r="D21" s="17"/>
      <c r="E21" s="17">
        <v>6332890</v>
      </c>
      <c r="F21" s="17"/>
      <c r="G21" s="17">
        <v>8658896</v>
      </c>
      <c r="H21" s="17"/>
      <c r="I21" s="17">
        <f t="shared" si="7"/>
        <v>2983647</v>
      </c>
      <c r="J21" s="17"/>
      <c r="K21" s="17">
        <f t="shared" si="0"/>
        <v>471667</v>
      </c>
      <c r="L21" s="17"/>
      <c r="M21" s="17">
        <v>3455314</v>
      </c>
      <c r="N21" s="17"/>
      <c r="O21" s="17">
        <v>3334890</v>
      </c>
      <c r="P21" s="17"/>
      <c r="Q21" s="17">
        <v>0</v>
      </c>
      <c r="R21" s="17"/>
      <c r="S21" s="17">
        <v>1868692</v>
      </c>
      <c r="T21" s="17"/>
      <c r="U21" s="17">
        <f t="shared" si="2"/>
        <v>5203582</v>
      </c>
      <c r="V21" s="17">
        <f t="shared" si="8"/>
        <v>0</v>
      </c>
      <c r="W21" s="17"/>
      <c r="X21" s="4" t="s">
        <v>21</v>
      </c>
      <c r="Y21" s="17"/>
      <c r="Z21" s="17">
        <v>1779487</v>
      </c>
      <c r="AA21" s="17"/>
      <c r="AB21" s="17">
        <f>2236662-286274</f>
        <v>1950388</v>
      </c>
      <c r="AC21" s="17"/>
      <c r="AD21" s="17">
        <v>286274</v>
      </c>
      <c r="AE21" s="17"/>
      <c r="AF21" s="17">
        <f t="shared" si="3"/>
        <v>-457175</v>
      </c>
      <c r="AG21" s="17"/>
      <c r="AH21" s="17">
        <f>37659-87684</f>
        <v>-50025</v>
      </c>
      <c r="AI21" s="17"/>
      <c r="AJ21" s="17">
        <v>172023</v>
      </c>
      <c r="AK21" s="17"/>
      <c r="AL21" s="17">
        <v>172023</v>
      </c>
      <c r="AM21" s="17"/>
      <c r="AN21" s="17">
        <v>0</v>
      </c>
      <c r="AO21" s="17"/>
      <c r="AP21" s="17">
        <f t="shared" si="4"/>
        <v>-507200</v>
      </c>
      <c r="AQ21" s="17"/>
      <c r="AR21" s="17">
        <v>0</v>
      </c>
      <c r="AS21" s="17"/>
      <c r="AT21" s="17">
        <v>0</v>
      </c>
      <c r="AU21" s="17"/>
      <c r="AV21" s="17">
        <f t="shared" si="5"/>
        <v>-657641</v>
      </c>
      <c r="AW21" s="17"/>
      <c r="AX21" s="4" t="s">
        <v>21</v>
      </c>
      <c r="AY21" s="17"/>
      <c r="AZ21" s="17">
        <v>0</v>
      </c>
      <c r="BA21" s="17"/>
      <c r="BB21" s="17">
        <v>0</v>
      </c>
      <c r="BC21" s="17"/>
      <c r="BD21" s="17">
        <v>413000</v>
      </c>
      <c r="BE21" s="17"/>
      <c r="BF21" s="17">
        <v>58667</v>
      </c>
      <c r="BG21" s="17"/>
      <c r="BH21" s="17"/>
      <c r="BI21" s="17"/>
      <c r="BJ21" s="1">
        <f t="shared" si="6"/>
        <v>471667</v>
      </c>
    </row>
    <row r="22" spans="1:62" s="18" customFormat="1" ht="12">
      <c r="A22" s="4" t="s">
        <v>184</v>
      </c>
      <c r="B22" s="4"/>
      <c r="C22" s="17">
        <f t="shared" si="1"/>
        <v>21363247</v>
      </c>
      <c r="D22" s="17"/>
      <c r="E22" s="17">
        <v>114437121</v>
      </c>
      <c r="F22" s="17"/>
      <c r="G22" s="17">
        <v>135800368</v>
      </c>
      <c r="H22" s="17"/>
      <c r="I22" s="17">
        <f t="shared" si="7"/>
        <v>3006081</v>
      </c>
      <c r="J22" s="17"/>
      <c r="K22" s="17">
        <f t="shared" si="0"/>
        <v>31485827</v>
      </c>
      <c r="L22" s="17"/>
      <c r="M22" s="17">
        <v>34491908</v>
      </c>
      <c r="N22" s="17"/>
      <c r="O22" s="17">
        <v>77371155</v>
      </c>
      <c r="P22" s="17"/>
      <c r="Q22" s="17">
        <v>4346276</v>
      </c>
      <c r="R22" s="17"/>
      <c r="S22" s="17">
        <v>19591029</v>
      </c>
      <c r="T22" s="17"/>
      <c r="U22" s="17">
        <f t="shared" si="2"/>
        <v>101308460</v>
      </c>
      <c r="V22" s="17">
        <f t="shared" si="8"/>
        <v>0</v>
      </c>
      <c r="W22" s="17"/>
      <c r="X22" s="4" t="s">
        <v>184</v>
      </c>
      <c r="Y22" s="17"/>
      <c r="Z22" s="17">
        <v>11388259</v>
      </c>
      <c r="AA22" s="17"/>
      <c r="AB22" s="17">
        <f>10138995-3495807</f>
        <v>6643188</v>
      </c>
      <c r="AC22" s="17"/>
      <c r="AD22" s="17">
        <v>3495807</v>
      </c>
      <c r="AE22" s="17"/>
      <c r="AF22" s="17">
        <f t="shared" si="3"/>
        <v>1249264</v>
      </c>
      <c r="AG22" s="17"/>
      <c r="AH22" s="17">
        <v>-619397</v>
      </c>
      <c r="AI22" s="17"/>
      <c r="AJ22" s="17">
        <v>636224</v>
      </c>
      <c r="AK22" s="17"/>
      <c r="AL22" s="17">
        <v>664</v>
      </c>
      <c r="AM22" s="17"/>
      <c r="AN22" s="17">
        <v>3146032</v>
      </c>
      <c r="AO22" s="17"/>
      <c r="AP22" s="17">
        <f t="shared" si="4"/>
        <v>4411459</v>
      </c>
      <c r="AQ22" s="17"/>
      <c r="AR22" s="17">
        <v>0</v>
      </c>
      <c r="AS22" s="17"/>
      <c r="AT22" s="17">
        <v>0</v>
      </c>
      <c r="AU22" s="17"/>
      <c r="AV22" s="17">
        <f t="shared" si="5"/>
        <v>18357166</v>
      </c>
      <c r="AW22" s="17"/>
      <c r="AX22" s="4" t="s">
        <v>184</v>
      </c>
      <c r="AY22" s="17"/>
      <c r="AZ22" s="17">
        <v>0</v>
      </c>
      <c r="BA22" s="17"/>
      <c r="BB22" s="17">
        <v>31010000</v>
      </c>
      <c r="BC22" s="17"/>
      <c r="BD22" s="17">
        <v>475827</v>
      </c>
      <c r="BE22" s="17"/>
      <c r="BF22" s="17">
        <v>0</v>
      </c>
      <c r="BG22" s="17"/>
      <c r="BH22" s="17"/>
      <c r="BI22" s="17"/>
      <c r="BJ22" s="1">
        <f t="shared" si="6"/>
        <v>31485827</v>
      </c>
    </row>
    <row r="23" spans="1:62" s="18" customFormat="1" ht="12" hidden="1">
      <c r="A23" s="4" t="s">
        <v>22</v>
      </c>
      <c r="B23" s="4"/>
      <c r="C23" s="17">
        <f t="shared" si="1"/>
        <v>0</v>
      </c>
      <c r="D23" s="17"/>
      <c r="E23" s="17">
        <v>0</v>
      </c>
      <c r="F23" s="17"/>
      <c r="G23" s="17">
        <v>0</v>
      </c>
      <c r="H23" s="17"/>
      <c r="I23" s="17">
        <f aca="true" t="shared" si="9" ref="I23:I76">+M23-K23</f>
        <v>0</v>
      </c>
      <c r="J23" s="17"/>
      <c r="K23" s="17">
        <f t="shared" si="0"/>
        <v>0</v>
      </c>
      <c r="L23" s="17"/>
      <c r="M23" s="17">
        <v>0</v>
      </c>
      <c r="N23" s="17"/>
      <c r="O23" s="17">
        <v>0</v>
      </c>
      <c r="P23" s="17"/>
      <c r="Q23" s="17">
        <v>0</v>
      </c>
      <c r="R23" s="17"/>
      <c r="S23" s="17">
        <v>0</v>
      </c>
      <c r="T23" s="17"/>
      <c r="U23" s="17">
        <f t="shared" si="2"/>
        <v>0</v>
      </c>
      <c r="V23" s="17">
        <f aca="true" t="shared" si="10" ref="V23:V79">G23-M23-U23</f>
        <v>0</v>
      </c>
      <c r="W23" s="17"/>
      <c r="X23" s="4" t="s">
        <v>22</v>
      </c>
      <c r="Y23" s="17"/>
      <c r="Z23" s="17">
        <v>0</v>
      </c>
      <c r="AA23" s="17"/>
      <c r="AB23" s="17">
        <v>0</v>
      </c>
      <c r="AC23" s="17"/>
      <c r="AD23" s="17">
        <v>0</v>
      </c>
      <c r="AE23" s="17"/>
      <c r="AF23" s="17">
        <f t="shared" si="3"/>
        <v>0</v>
      </c>
      <c r="AG23" s="17"/>
      <c r="AH23" s="17">
        <v>0</v>
      </c>
      <c r="AI23" s="17"/>
      <c r="AJ23" s="17">
        <v>0</v>
      </c>
      <c r="AK23" s="17"/>
      <c r="AL23" s="17">
        <v>0</v>
      </c>
      <c r="AM23" s="17"/>
      <c r="AN23" s="17">
        <v>0</v>
      </c>
      <c r="AO23" s="17"/>
      <c r="AP23" s="17">
        <f t="shared" si="4"/>
        <v>0</v>
      </c>
      <c r="AQ23" s="17"/>
      <c r="AR23" s="17">
        <v>0</v>
      </c>
      <c r="AS23" s="17"/>
      <c r="AT23" s="17">
        <v>0</v>
      </c>
      <c r="AU23" s="17"/>
      <c r="AV23" s="17">
        <f t="shared" si="5"/>
        <v>0</v>
      </c>
      <c r="AW23" s="17"/>
      <c r="AX23" s="4" t="s">
        <v>22</v>
      </c>
      <c r="AY23" s="17"/>
      <c r="AZ23" s="17">
        <v>0</v>
      </c>
      <c r="BA23" s="17"/>
      <c r="BB23" s="17">
        <v>0</v>
      </c>
      <c r="BC23" s="17"/>
      <c r="BD23" s="17">
        <v>0</v>
      </c>
      <c r="BE23" s="17"/>
      <c r="BF23" s="17">
        <v>0</v>
      </c>
      <c r="BG23" s="17"/>
      <c r="BH23" s="17"/>
      <c r="BI23" s="17"/>
      <c r="BJ23" s="1">
        <f t="shared" si="6"/>
        <v>0</v>
      </c>
    </row>
    <row r="24" spans="1:62" s="18" customFormat="1" ht="12" hidden="1">
      <c r="A24" s="4" t="s">
        <v>23</v>
      </c>
      <c r="B24" s="4"/>
      <c r="C24" s="17">
        <f t="shared" si="1"/>
        <v>0</v>
      </c>
      <c r="D24" s="17"/>
      <c r="E24" s="17"/>
      <c r="F24" s="17"/>
      <c r="G24" s="17"/>
      <c r="H24" s="17"/>
      <c r="I24" s="17">
        <f t="shared" si="9"/>
        <v>0</v>
      </c>
      <c r="J24" s="17"/>
      <c r="K24" s="17">
        <f t="shared" si="0"/>
        <v>0</v>
      </c>
      <c r="L24" s="17"/>
      <c r="M24" s="17"/>
      <c r="N24" s="17"/>
      <c r="O24" s="17"/>
      <c r="P24" s="17"/>
      <c r="Q24" s="17"/>
      <c r="R24" s="17"/>
      <c r="S24" s="17"/>
      <c r="T24" s="17"/>
      <c r="U24" s="17">
        <f t="shared" si="2"/>
        <v>0</v>
      </c>
      <c r="V24" s="17">
        <f t="shared" si="10"/>
        <v>0</v>
      </c>
      <c r="W24" s="17"/>
      <c r="X24" s="4" t="s">
        <v>23</v>
      </c>
      <c r="Y24" s="17"/>
      <c r="Z24" s="17"/>
      <c r="AA24" s="17"/>
      <c r="AB24" s="17"/>
      <c r="AC24" s="17"/>
      <c r="AD24" s="17"/>
      <c r="AE24" s="17"/>
      <c r="AF24" s="17">
        <f t="shared" si="3"/>
        <v>0</v>
      </c>
      <c r="AG24" s="17"/>
      <c r="AH24" s="17"/>
      <c r="AI24" s="17"/>
      <c r="AJ24" s="17"/>
      <c r="AK24" s="17"/>
      <c r="AL24" s="17"/>
      <c r="AM24" s="17"/>
      <c r="AN24" s="17"/>
      <c r="AO24" s="17"/>
      <c r="AP24" s="17">
        <f t="shared" si="4"/>
        <v>0</v>
      </c>
      <c r="AQ24" s="17"/>
      <c r="AR24" s="17">
        <v>0</v>
      </c>
      <c r="AS24" s="17"/>
      <c r="AT24" s="17">
        <v>0</v>
      </c>
      <c r="AU24" s="17"/>
      <c r="AV24" s="17">
        <f t="shared" si="5"/>
        <v>0</v>
      </c>
      <c r="AW24" s="17"/>
      <c r="AX24" s="4" t="s">
        <v>23</v>
      </c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">
        <f t="shared" si="6"/>
        <v>0</v>
      </c>
    </row>
    <row r="25" spans="1:62" s="18" customFormat="1" ht="12" hidden="1">
      <c r="A25" s="4" t="s">
        <v>24</v>
      </c>
      <c r="B25" s="4"/>
      <c r="C25" s="17">
        <f t="shared" si="1"/>
        <v>0</v>
      </c>
      <c r="D25" s="17"/>
      <c r="E25" s="17">
        <v>0</v>
      </c>
      <c r="F25" s="17"/>
      <c r="G25" s="17">
        <v>0</v>
      </c>
      <c r="H25" s="17"/>
      <c r="I25" s="17">
        <f t="shared" si="9"/>
        <v>0</v>
      </c>
      <c r="J25" s="17"/>
      <c r="K25" s="17">
        <f t="shared" si="0"/>
        <v>0</v>
      </c>
      <c r="L25" s="17"/>
      <c r="M25" s="17">
        <v>0</v>
      </c>
      <c r="N25" s="17"/>
      <c r="O25" s="17">
        <v>0</v>
      </c>
      <c r="P25" s="17"/>
      <c r="Q25" s="17">
        <v>0</v>
      </c>
      <c r="R25" s="17"/>
      <c r="S25" s="17">
        <v>0</v>
      </c>
      <c r="T25" s="17"/>
      <c r="U25" s="17">
        <f t="shared" si="2"/>
        <v>0</v>
      </c>
      <c r="V25" s="17">
        <f t="shared" si="10"/>
        <v>0</v>
      </c>
      <c r="W25" s="17"/>
      <c r="X25" s="4" t="s">
        <v>24</v>
      </c>
      <c r="Y25" s="17"/>
      <c r="Z25" s="17">
        <v>0</v>
      </c>
      <c r="AA25" s="17"/>
      <c r="AB25" s="17">
        <v>0</v>
      </c>
      <c r="AC25" s="17"/>
      <c r="AD25" s="17">
        <v>0</v>
      </c>
      <c r="AE25" s="17"/>
      <c r="AF25" s="17">
        <f t="shared" si="3"/>
        <v>0</v>
      </c>
      <c r="AG25" s="17"/>
      <c r="AH25" s="17">
        <v>0</v>
      </c>
      <c r="AI25" s="17"/>
      <c r="AJ25" s="17">
        <v>0</v>
      </c>
      <c r="AK25" s="17"/>
      <c r="AL25" s="17">
        <v>0</v>
      </c>
      <c r="AM25" s="17"/>
      <c r="AN25" s="17">
        <v>0</v>
      </c>
      <c r="AO25" s="17"/>
      <c r="AP25" s="17">
        <f t="shared" si="4"/>
        <v>0</v>
      </c>
      <c r="AQ25" s="17"/>
      <c r="AR25" s="17">
        <v>0</v>
      </c>
      <c r="AS25" s="17"/>
      <c r="AT25" s="17">
        <v>0</v>
      </c>
      <c r="AU25" s="17"/>
      <c r="AV25" s="17">
        <f t="shared" si="5"/>
        <v>0</v>
      </c>
      <c r="AW25" s="17"/>
      <c r="AX25" s="4" t="s">
        <v>24</v>
      </c>
      <c r="AY25" s="17"/>
      <c r="AZ25" s="17">
        <v>0</v>
      </c>
      <c r="BA25" s="17"/>
      <c r="BB25" s="17">
        <v>0</v>
      </c>
      <c r="BC25" s="17"/>
      <c r="BD25" s="17">
        <v>0</v>
      </c>
      <c r="BE25" s="17"/>
      <c r="BF25" s="17">
        <v>0</v>
      </c>
      <c r="BG25" s="17"/>
      <c r="BH25" s="17"/>
      <c r="BI25" s="17"/>
      <c r="BJ25" s="1">
        <f t="shared" si="6"/>
        <v>0</v>
      </c>
    </row>
    <row r="26" spans="1:62" s="18" customFormat="1" ht="12" hidden="1">
      <c r="A26" s="4" t="s">
        <v>257</v>
      </c>
      <c r="B26" s="4"/>
      <c r="C26" s="17">
        <f t="shared" si="1"/>
        <v>0</v>
      </c>
      <c r="D26" s="17"/>
      <c r="E26" s="17">
        <v>0</v>
      </c>
      <c r="F26" s="17"/>
      <c r="G26" s="17">
        <v>0</v>
      </c>
      <c r="H26" s="17"/>
      <c r="I26" s="17">
        <f t="shared" si="9"/>
        <v>0</v>
      </c>
      <c r="J26" s="17"/>
      <c r="K26" s="17">
        <f t="shared" si="0"/>
        <v>0</v>
      </c>
      <c r="L26" s="17"/>
      <c r="M26" s="17">
        <v>0</v>
      </c>
      <c r="N26" s="17"/>
      <c r="O26" s="17">
        <v>0</v>
      </c>
      <c r="P26" s="17"/>
      <c r="Q26" s="17">
        <v>0</v>
      </c>
      <c r="R26" s="17"/>
      <c r="S26" s="17">
        <v>0</v>
      </c>
      <c r="T26" s="17"/>
      <c r="U26" s="17">
        <f t="shared" si="2"/>
        <v>0</v>
      </c>
      <c r="V26" s="17">
        <f t="shared" si="10"/>
        <v>0</v>
      </c>
      <c r="W26" s="17"/>
      <c r="X26" s="4" t="s">
        <v>182</v>
      </c>
      <c r="Y26" s="17"/>
      <c r="Z26" s="17">
        <v>0</v>
      </c>
      <c r="AA26" s="17"/>
      <c r="AB26" s="17">
        <v>0</v>
      </c>
      <c r="AC26" s="17"/>
      <c r="AD26" s="17">
        <v>0</v>
      </c>
      <c r="AE26" s="17"/>
      <c r="AF26" s="17">
        <f t="shared" si="3"/>
        <v>0</v>
      </c>
      <c r="AG26" s="17"/>
      <c r="AH26" s="17">
        <v>0</v>
      </c>
      <c r="AI26" s="17"/>
      <c r="AJ26" s="17">
        <v>0</v>
      </c>
      <c r="AK26" s="17"/>
      <c r="AL26" s="17">
        <v>0</v>
      </c>
      <c r="AM26" s="17"/>
      <c r="AN26" s="17">
        <v>0</v>
      </c>
      <c r="AO26" s="17"/>
      <c r="AP26" s="17">
        <f t="shared" si="4"/>
        <v>0</v>
      </c>
      <c r="AQ26" s="17"/>
      <c r="AR26" s="17">
        <v>0</v>
      </c>
      <c r="AS26" s="17"/>
      <c r="AT26" s="17">
        <v>0</v>
      </c>
      <c r="AU26" s="17"/>
      <c r="AV26" s="17">
        <f t="shared" si="5"/>
        <v>0</v>
      </c>
      <c r="AW26" s="17"/>
      <c r="AX26" s="4" t="s">
        <v>182</v>
      </c>
      <c r="AY26" s="17"/>
      <c r="AZ26" s="17">
        <v>0</v>
      </c>
      <c r="BA26" s="17"/>
      <c r="BB26" s="17">
        <v>0</v>
      </c>
      <c r="BC26" s="17"/>
      <c r="BD26" s="17">
        <v>0</v>
      </c>
      <c r="BE26" s="17"/>
      <c r="BF26" s="17">
        <v>0</v>
      </c>
      <c r="BG26" s="17"/>
      <c r="BH26" s="17"/>
      <c r="BI26" s="17"/>
      <c r="BJ26" s="1">
        <f t="shared" si="6"/>
        <v>0</v>
      </c>
    </row>
    <row r="27" spans="1:62" s="18" customFormat="1" ht="12" hidden="1">
      <c r="A27" s="4" t="s">
        <v>25</v>
      </c>
      <c r="B27" s="4"/>
      <c r="C27" s="17">
        <f t="shared" si="1"/>
        <v>0</v>
      </c>
      <c r="D27" s="17"/>
      <c r="E27" s="17">
        <v>0</v>
      </c>
      <c r="F27" s="17"/>
      <c r="G27" s="17">
        <v>0</v>
      </c>
      <c r="H27" s="17"/>
      <c r="I27" s="17">
        <f t="shared" si="9"/>
        <v>0</v>
      </c>
      <c r="J27" s="17"/>
      <c r="K27" s="17">
        <f t="shared" si="0"/>
        <v>0</v>
      </c>
      <c r="L27" s="17"/>
      <c r="M27" s="17">
        <v>0</v>
      </c>
      <c r="N27" s="17"/>
      <c r="O27" s="17">
        <v>0</v>
      </c>
      <c r="P27" s="17"/>
      <c r="Q27" s="17">
        <v>0</v>
      </c>
      <c r="R27" s="17"/>
      <c r="S27" s="17">
        <v>0</v>
      </c>
      <c r="T27" s="17"/>
      <c r="U27" s="17">
        <f t="shared" si="2"/>
        <v>0</v>
      </c>
      <c r="V27" s="17">
        <f t="shared" si="10"/>
        <v>0</v>
      </c>
      <c r="W27" s="17"/>
      <c r="X27" s="4" t="s">
        <v>25</v>
      </c>
      <c r="Y27" s="17"/>
      <c r="Z27" s="17">
        <v>0</v>
      </c>
      <c r="AA27" s="17"/>
      <c r="AB27" s="17">
        <v>0</v>
      </c>
      <c r="AC27" s="17"/>
      <c r="AD27" s="17">
        <v>0</v>
      </c>
      <c r="AE27" s="17"/>
      <c r="AF27" s="17">
        <f t="shared" si="3"/>
        <v>0</v>
      </c>
      <c r="AG27" s="17"/>
      <c r="AH27" s="17">
        <v>0</v>
      </c>
      <c r="AI27" s="17"/>
      <c r="AJ27" s="17">
        <v>0</v>
      </c>
      <c r="AK27" s="17"/>
      <c r="AL27" s="17">
        <v>0</v>
      </c>
      <c r="AM27" s="17"/>
      <c r="AN27" s="17">
        <v>0</v>
      </c>
      <c r="AO27" s="17"/>
      <c r="AP27" s="17">
        <f t="shared" si="4"/>
        <v>0</v>
      </c>
      <c r="AQ27" s="17"/>
      <c r="AR27" s="17">
        <v>0</v>
      </c>
      <c r="AS27" s="17"/>
      <c r="AT27" s="17">
        <v>0</v>
      </c>
      <c r="AU27" s="17"/>
      <c r="AV27" s="17">
        <f t="shared" si="5"/>
        <v>0</v>
      </c>
      <c r="AW27" s="17"/>
      <c r="AX27" s="4" t="s">
        <v>25</v>
      </c>
      <c r="AY27" s="17"/>
      <c r="AZ27" s="17">
        <v>0</v>
      </c>
      <c r="BA27" s="17"/>
      <c r="BB27" s="17">
        <v>0</v>
      </c>
      <c r="BC27" s="17"/>
      <c r="BD27" s="17">
        <v>0</v>
      </c>
      <c r="BE27" s="17"/>
      <c r="BF27" s="17">
        <v>0</v>
      </c>
      <c r="BG27" s="17"/>
      <c r="BH27" s="17"/>
      <c r="BI27" s="17"/>
      <c r="BJ27" s="1">
        <f t="shared" si="6"/>
        <v>0</v>
      </c>
    </row>
    <row r="28" spans="1:62" s="18" customFormat="1" ht="12" hidden="1">
      <c r="A28" s="4" t="s">
        <v>26</v>
      </c>
      <c r="B28" s="4"/>
      <c r="C28" s="17">
        <f t="shared" si="1"/>
        <v>0</v>
      </c>
      <c r="D28" s="17"/>
      <c r="E28" s="17">
        <v>0</v>
      </c>
      <c r="F28" s="17"/>
      <c r="G28" s="17">
        <v>0</v>
      </c>
      <c r="H28" s="17"/>
      <c r="I28" s="17">
        <f t="shared" si="9"/>
        <v>0</v>
      </c>
      <c r="J28" s="17"/>
      <c r="K28" s="17">
        <f t="shared" si="0"/>
        <v>0</v>
      </c>
      <c r="L28" s="17"/>
      <c r="M28" s="17">
        <v>0</v>
      </c>
      <c r="N28" s="17"/>
      <c r="O28" s="17">
        <v>0</v>
      </c>
      <c r="P28" s="17"/>
      <c r="Q28" s="17">
        <v>0</v>
      </c>
      <c r="R28" s="17"/>
      <c r="S28" s="17">
        <v>0</v>
      </c>
      <c r="T28" s="17"/>
      <c r="U28" s="17">
        <f t="shared" si="2"/>
        <v>0</v>
      </c>
      <c r="V28" s="17">
        <f t="shared" si="10"/>
        <v>0</v>
      </c>
      <c r="W28" s="17"/>
      <c r="X28" s="4" t="s">
        <v>26</v>
      </c>
      <c r="Y28" s="17"/>
      <c r="Z28" s="17">
        <v>0</v>
      </c>
      <c r="AA28" s="17"/>
      <c r="AB28" s="17">
        <v>0</v>
      </c>
      <c r="AC28" s="17"/>
      <c r="AD28" s="17">
        <v>0</v>
      </c>
      <c r="AE28" s="17"/>
      <c r="AF28" s="17">
        <f t="shared" si="3"/>
        <v>0</v>
      </c>
      <c r="AG28" s="17"/>
      <c r="AH28" s="17">
        <v>0</v>
      </c>
      <c r="AI28" s="17"/>
      <c r="AJ28" s="17">
        <v>0</v>
      </c>
      <c r="AK28" s="17"/>
      <c r="AL28" s="17">
        <v>0</v>
      </c>
      <c r="AM28" s="17"/>
      <c r="AN28" s="17">
        <v>0</v>
      </c>
      <c r="AO28" s="17"/>
      <c r="AP28" s="17">
        <f t="shared" si="4"/>
        <v>0</v>
      </c>
      <c r="AQ28" s="17"/>
      <c r="AR28" s="17">
        <v>0</v>
      </c>
      <c r="AS28" s="17"/>
      <c r="AT28" s="17">
        <v>0</v>
      </c>
      <c r="AU28" s="17"/>
      <c r="AV28" s="17">
        <f t="shared" si="5"/>
        <v>0</v>
      </c>
      <c r="AW28" s="17"/>
      <c r="AX28" s="4" t="s">
        <v>26</v>
      </c>
      <c r="AY28" s="17"/>
      <c r="AZ28" s="17">
        <v>0</v>
      </c>
      <c r="BA28" s="17"/>
      <c r="BB28" s="17">
        <v>0</v>
      </c>
      <c r="BC28" s="17"/>
      <c r="BD28" s="17">
        <v>0</v>
      </c>
      <c r="BE28" s="17"/>
      <c r="BF28" s="17">
        <v>0</v>
      </c>
      <c r="BG28" s="17"/>
      <c r="BH28" s="17"/>
      <c r="BI28" s="17"/>
      <c r="BJ28" s="1">
        <f t="shared" si="6"/>
        <v>0</v>
      </c>
    </row>
    <row r="29" spans="1:62" s="18" customFormat="1" ht="12" hidden="1">
      <c r="A29" s="4" t="s">
        <v>27</v>
      </c>
      <c r="B29" s="4"/>
      <c r="C29" s="17">
        <f t="shared" si="1"/>
        <v>0</v>
      </c>
      <c r="D29" s="17"/>
      <c r="E29" s="17">
        <v>0</v>
      </c>
      <c r="F29" s="17"/>
      <c r="G29" s="17">
        <v>0</v>
      </c>
      <c r="H29" s="17"/>
      <c r="I29" s="17">
        <f t="shared" si="9"/>
        <v>0</v>
      </c>
      <c r="J29" s="17"/>
      <c r="K29" s="17">
        <f t="shared" si="0"/>
        <v>0</v>
      </c>
      <c r="L29" s="17"/>
      <c r="M29" s="17">
        <v>0</v>
      </c>
      <c r="N29" s="17"/>
      <c r="O29" s="17">
        <v>0</v>
      </c>
      <c r="P29" s="17"/>
      <c r="Q29" s="17">
        <v>0</v>
      </c>
      <c r="R29" s="17"/>
      <c r="S29" s="17">
        <v>0</v>
      </c>
      <c r="T29" s="17"/>
      <c r="U29" s="17">
        <f t="shared" si="2"/>
        <v>0</v>
      </c>
      <c r="V29" s="17">
        <f t="shared" si="10"/>
        <v>0</v>
      </c>
      <c r="W29" s="17"/>
      <c r="X29" s="4" t="s">
        <v>27</v>
      </c>
      <c r="Y29" s="17"/>
      <c r="Z29" s="17">
        <v>0</v>
      </c>
      <c r="AA29" s="17"/>
      <c r="AB29" s="17">
        <v>0</v>
      </c>
      <c r="AC29" s="17"/>
      <c r="AD29" s="17">
        <v>0</v>
      </c>
      <c r="AE29" s="17"/>
      <c r="AF29" s="17">
        <f t="shared" si="3"/>
        <v>0</v>
      </c>
      <c r="AG29" s="17"/>
      <c r="AH29" s="17">
        <v>0</v>
      </c>
      <c r="AI29" s="17"/>
      <c r="AJ29" s="17">
        <v>0</v>
      </c>
      <c r="AK29" s="17"/>
      <c r="AL29" s="17">
        <v>0</v>
      </c>
      <c r="AM29" s="17"/>
      <c r="AN29" s="17">
        <v>0</v>
      </c>
      <c r="AO29" s="17"/>
      <c r="AP29" s="17">
        <f t="shared" si="4"/>
        <v>0</v>
      </c>
      <c r="AQ29" s="17"/>
      <c r="AR29" s="17">
        <v>0</v>
      </c>
      <c r="AS29" s="17"/>
      <c r="AT29" s="17">
        <v>0</v>
      </c>
      <c r="AU29" s="17"/>
      <c r="AV29" s="17">
        <f t="shared" si="5"/>
        <v>0</v>
      </c>
      <c r="AW29" s="17"/>
      <c r="AX29" s="4" t="s">
        <v>27</v>
      </c>
      <c r="AY29" s="17"/>
      <c r="AZ29" s="17">
        <v>0</v>
      </c>
      <c r="BA29" s="17"/>
      <c r="BB29" s="17">
        <v>0</v>
      </c>
      <c r="BC29" s="17"/>
      <c r="BD29" s="17">
        <v>0</v>
      </c>
      <c r="BE29" s="17"/>
      <c r="BF29" s="17">
        <v>0</v>
      </c>
      <c r="BG29" s="17"/>
      <c r="BH29" s="17"/>
      <c r="BI29" s="17"/>
      <c r="BJ29" s="1">
        <f t="shared" si="6"/>
        <v>0</v>
      </c>
    </row>
    <row r="30" spans="1:62" s="18" customFormat="1" ht="12" hidden="1">
      <c r="A30" s="4" t="s">
        <v>28</v>
      </c>
      <c r="B30" s="4"/>
      <c r="C30" s="17">
        <f t="shared" si="1"/>
        <v>0</v>
      </c>
      <c r="D30" s="17"/>
      <c r="E30" s="17">
        <v>0</v>
      </c>
      <c r="F30" s="17"/>
      <c r="G30" s="17">
        <v>0</v>
      </c>
      <c r="H30" s="17"/>
      <c r="I30" s="17">
        <f t="shared" si="9"/>
        <v>0</v>
      </c>
      <c r="J30" s="17"/>
      <c r="K30" s="17">
        <f t="shared" si="0"/>
        <v>0</v>
      </c>
      <c r="L30" s="17"/>
      <c r="M30" s="17">
        <v>0</v>
      </c>
      <c r="N30" s="17"/>
      <c r="O30" s="17">
        <v>0</v>
      </c>
      <c r="P30" s="17"/>
      <c r="Q30" s="17">
        <v>0</v>
      </c>
      <c r="R30" s="17"/>
      <c r="S30" s="17">
        <v>0</v>
      </c>
      <c r="T30" s="17"/>
      <c r="U30" s="17">
        <f t="shared" si="2"/>
        <v>0</v>
      </c>
      <c r="V30" s="17">
        <f t="shared" si="10"/>
        <v>0</v>
      </c>
      <c r="W30" s="17"/>
      <c r="X30" s="4" t="s">
        <v>28</v>
      </c>
      <c r="Y30" s="17"/>
      <c r="Z30" s="17">
        <v>0</v>
      </c>
      <c r="AA30" s="17"/>
      <c r="AB30" s="17">
        <v>0</v>
      </c>
      <c r="AC30" s="17"/>
      <c r="AD30" s="17">
        <v>0</v>
      </c>
      <c r="AE30" s="17"/>
      <c r="AF30" s="17">
        <f t="shared" si="3"/>
        <v>0</v>
      </c>
      <c r="AG30" s="17"/>
      <c r="AH30" s="17">
        <v>0</v>
      </c>
      <c r="AI30" s="17"/>
      <c r="AJ30" s="17">
        <v>0</v>
      </c>
      <c r="AK30" s="17"/>
      <c r="AL30" s="17">
        <v>0</v>
      </c>
      <c r="AM30" s="17"/>
      <c r="AN30" s="17">
        <v>0</v>
      </c>
      <c r="AO30" s="17"/>
      <c r="AP30" s="17">
        <f t="shared" si="4"/>
        <v>0</v>
      </c>
      <c r="AQ30" s="17"/>
      <c r="AR30" s="17">
        <v>0</v>
      </c>
      <c r="AS30" s="17"/>
      <c r="AT30" s="17">
        <v>0</v>
      </c>
      <c r="AU30" s="17"/>
      <c r="AV30" s="17">
        <f t="shared" si="5"/>
        <v>0</v>
      </c>
      <c r="AW30" s="17"/>
      <c r="AX30" s="4" t="s">
        <v>28</v>
      </c>
      <c r="AY30" s="17"/>
      <c r="AZ30" s="17">
        <v>0</v>
      </c>
      <c r="BA30" s="17"/>
      <c r="BB30" s="17">
        <v>0</v>
      </c>
      <c r="BC30" s="17"/>
      <c r="BD30" s="17">
        <v>0</v>
      </c>
      <c r="BE30" s="17"/>
      <c r="BF30" s="17">
        <v>0</v>
      </c>
      <c r="BG30" s="17"/>
      <c r="BH30" s="17"/>
      <c r="BI30" s="17"/>
      <c r="BJ30" s="1">
        <f t="shared" si="6"/>
        <v>0</v>
      </c>
    </row>
    <row r="31" spans="1:62" s="18" customFormat="1" ht="12">
      <c r="A31" s="4" t="s">
        <v>29</v>
      </c>
      <c r="B31" s="4"/>
      <c r="C31" s="17">
        <f t="shared" si="1"/>
        <v>3235012</v>
      </c>
      <c r="D31" s="17"/>
      <c r="E31" s="17">
        <v>46277889</v>
      </c>
      <c r="F31" s="17"/>
      <c r="G31" s="17">
        <v>49512901</v>
      </c>
      <c r="H31" s="17"/>
      <c r="I31" s="17">
        <f t="shared" si="9"/>
        <v>1351937</v>
      </c>
      <c r="J31" s="17"/>
      <c r="K31" s="17">
        <f t="shared" si="0"/>
        <v>32226605</v>
      </c>
      <c r="L31" s="17"/>
      <c r="M31" s="17">
        <v>33578542</v>
      </c>
      <c r="N31" s="17"/>
      <c r="O31" s="17">
        <v>14226810</v>
      </c>
      <c r="P31" s="17"/>
      <c r="Q31" s="17">
        <v>0</v>
      </c>
      <c r="R31" s="17"/>
      <c r="S31" s="17">
        <v>1707549</v>
      </c>
      <c r="T31" s="17"/>
      <c r="U31" s="17">
        <f t="shared" si="2"/>
        <v>15934359</v>
      </c>
      <c r="V31" s="17">
        <f t="shared" si="10"/>
        <v>0</v>
      </c>
      <c r="W31" s="17"/>
      <c r="X31" s="4" t="s">
        <v>29</v>
      </c>
      <c r="Y31" s="17"/>
      <c r="Z31" s="17">
        <v>7849345</v>
      </c>
      <c r="AA31" s="17"/>
      <c r="AB31" s="17">
        <f>7060003-1358413</f>
        <v>5701590</v>
      </c>
      <c r="AC31" s="17"/>
      <c r="AD31" s="17">
        <v>1358413</v>
      </c>
      <c r="AE31" s="17"/>
      <c r="AF31" s="17">
        <f t="shared" si="3"/>
        <v>789342</v>
      </c>
      <c r="AG31" s="17"/>
      <c r="AH31" s="17">
        <v>-1133846</v>
      </c>
      <c r="AI31" s="17"/>
      <c r="AJ31" s="17">
        <v>0</v>
      </c>
      <c r="AK31" s="17"/>
      <c r="AL31" s="17">
        <v>0</v>
      </c>
      <c r="AM31" s="17"/>
      <c r="AN31" s="17">
        <v>4266846</v>
      </c>
      <c r="AO31" s="17"/>
      <c r="AP31" s="17">
        <f t="shared" si="4"/>
        <v>3922342</v>
      </c>
      <c r="AQ31" s="17"/>
      <c r="AR31" s="17">
        <v>0</v>
      </c>
      <c r="AS31" s="17"/>
      <c r="AT31" s="17">
        <v>0</v>
      </c>
      <c r="AU31" s="17"/>
      <c r="AV31" s="17">
        <f t="shared" si="5"/>
        <v>1883075</v>
      </c>
      <c r="AW31" s="17"/>
      <c r="AX31" s="4" t="s">
        <v>29</v>
      </c>
      <c r="AY31" s="17"/>
      <c r="AZ31" s="17">
        <f>507100+7017858</f>
        <v>7524958</v>
      </c>
      <c r="BA31" s="17"/>
      <c r="BB31" s="17"/>
      <c r="BC31" s="17"/>
      <c r="BD31" s="17">
        <f>509995+17390+23989341+78253</f>
        <v>24594979</v>
      </c>
      <c r="BE31" s="17"/>
      <c r="BF31" s="17">
        <f>24411+82257</f>
        <v>106668</v>
      </c>
      <c r="BG31" s="17"/>
      <c r="BH31" s="17"/>
      <c r="BI31" s="17"/>
      <c r="BJ31" s="1">
        <f t="shared" si="6"/>
        <v>32226605</v>
      </c>
    </row>
    <row r="32" spans="1:62" s="18" customFormat="1" ht="12">
      <c r="A32" s="4" t="s">
        <v>30</v>
      </c>
      <c r="B32" s="4"/>
      <c r="C32" s="17">
        <f t="shared" si="1"/>
        <v>3694938</v>
      </c>
      <c r="D32" s="17"/>
      <c r="E32" s="17">
        <v>27569979</v>
      </c>
      <c r="F32" s="17"/>
      <c r="G32" s="17">
        <v>31264917</v>
      </c>
      <c r="H32" s="17"/>
      <c r="I32" s="17">
        <f t="shared" si="9"/>
        <v>1068014</v>
      </c>
      <c r="J32" s="17"/>
      <c r="K32" s="17">
        <f t="shared" si="0"/>
        <v>10791469</v>
      </c>
      <c r="L32" s="17"/>
      <c r="M32" s="17">
        <v>11859483</v>
      </c>
      <c r="N32" s="17"/>
      <c r="O32" s="17">
        <v>16118519</v>
      </c>
      <c r="P32" s="17"/>
      <c r="Q32" s="17">
        <v>0</v>
      </c>
      <c r="R32" s="17"/>
      <c r="S32" s="17">
        <v>3286915</v>
      </c>
      <c r="T32" s="17"/>
      <c r="U32" s="17">
        <f t="shared" si="2"/>
        <v>19405434</v>
      </c>
      <c r="V32" s="17">
        <f t="shared" si="10"/>
        <v>0</v>
      </c>
      <c r="W32" s="17"/>
      <c r="X32" s="4" t="s">
        <v>30</v>
      </c>
      <c r="Y32" s="17"/>
      <c r="Z32" s="17">
        <v>2188228</v>
      </c>
      <c r="AA32" s="17"/>
      <c r="AB32" s="17">
        <f>2102042-794683</f>
        <v>1307359</v>
      </c>
      <c r="AC32" s="17"/>
      <c r="AD32" s="17">
        <v>794683</v>
      </c>
      <c r="AE32" s="17"/>
      <c r="AF32" s="17">
        <f t="shared" si="3"/>
        <v>86186</v>
      </c>
      <c r="AG32" s="17"/>
      <c r="AH32" s="17">
        <v>-449101</v>
      </c>
      <c r="AI32" s="17"/>
      <c r="AJ32" s="17">
        <v>0</v>
      </c>
      <c r="AK32" s="17"/>
      <c r="AL32" s="17">
        <v>21500</v>
      </c>
      <c r="AM32" s="17"/>
      <c r="AN32" s="17">
        <v>677538</v>
      </c>
      <c r="AO32" s="17"/>
      <c r="AP32" s="17">
        <f t="shared" si="4"/>
        <v>293123</v>
      </c>
      <c r="AQ32" s="17"/>
      <c r="AR32" s="17">
        <v>0</v>
      </c>
      <c r="AS32" s="17"/>
      <c r="AT32" s="17">
        <v>0</v>
      </c>
      <c r="AU32" s="17"/>
      <c r="AV32" s="17">
        <f t="shared" si="5"/>
        <v>2626924</v>
      </c>
      <c r="AW32" s="17"/>
      <c r="AX32" s="4" t="s">
        <v>30</v>
      </c>
      <c r="AY32" s="17"/>
      <c r="AZ32" s="17">
        <v>10395134</v>
      </c>
      <c r="BA32" s="17"/>
      <c r="BB32" s="17">
        <v>0</v>
      </c>
      <c r="BC32" s="17"/>
      <c r="BD32" s="17">
        <v>0</v>
      </c>
      <c r="BE32" s="17"/>
      <c r="BF32" s="17">
        <f>33703+350000+12632</f>
        <v>396335</v>
      </c>
      <c r="BG32" s="17"/>
      <c r="BH32" s="17"/>
      <c r="BI32" s="17"/>
      <c r="BJ32" s="1">
        <f t="shared" si="6"/>
        <v>10791469</v>
      </c>
    </row>
    <row r="33" spans="1:62" s="18" customFormat="1" ht="12" hidden="1">
      <c r="A33" s="4" t="s">
        <v>253</v>
      </c>
      <c r="B33" s="4"/>
      <c r="C33" s="17">
        <f t="shared" si="1"/>
        <v>0</v>
      </c>
      <c r="D33" s="17"/>
      <c r="E33" s="17">
        <v>0</v>
      </c>
      <c r="F33" s="17"/>
      <c r="G33" s="17">
        <v>0</v>
      </c>
      <c r="H33" s="17"/>
      <c r="I33" s="17">
        <f t="shared" si="9"/>
        <v>0</v>
      </c>
      <c r="J33" s="17"/>
      <c r="K33" s="17">
        <f t="shared" si="0"/>
        <v>0</v>
      </c>
      <c r="L33" s="17"/>
      <c r="M33" s="17">
        <v>0</v>
      </c>
      <c r="N33" s="17"/>
      <c r="O33" s="17">
        <v>0</v>
      </c>
      <c r="P33" s="17"/>
      <c r="Q33" s="17">
        <v>0</v>
      </c>
      <c r="R33" s="17"/>
      <c r="S33" s="17">
        <v>0</v>
      </c>
      <c r="T33" s="17"/>
      <c r="U33" s="17">
        <f t="shared" si="2"/>
        <v>0</v>
      </c>
      <c r="V33" s="17">
        <f t="shared" si="10"/>
        <v>0</v>
      </c>
      <c r="W33" s="17"/>
      <c r="X33" s="4" t="s">
        <v>253</v>
      </c>
      <c r="Y33" s="17"/>
      <c r="Z33" s="17">
        <v>0</v>
      </c>
      <c r="AA33" s="17"/>
      <c r="AB33" s="17">
        <v>0</v>
      </c>
      <c r="AC33" s="17"/>
      <c r="AD33" s="17">
        <v>0</v>
      </c>
      <c r="AE33" s="17"/>
      <c r="AF33" s="17">
        <f t="shared" si="3"/>
        <v>0</v>
      </c>
      <c r="AG33" s="17"/>
      <c r="AH33" s="17">
        <v>0</v>
      </c>
      <c r="AI33" s="17"/>
      <c r="AJ33" s="17">
        <v>0</v>
      </c>
      <c r="AK33" s="17"/>
      <c r="AL33" s="17">
        <v>0</v>
      </c>
      <c r="AM33" s="17"/>
      <c r="AN33" s="17">
        <v>0</v>
      </c>
      <c r="AO33" s="17"/>
      <c r="AP33" s="17">
        <f t="shared" si="4"/>
        <v>0</v>
      </c>
      <c r="AQ33" s="17"/>
      <c r="AR33" s="17">
        <v>0</v>
      </c>
      <c r="AS33" s="17"/>
      <c r="AT33" s="17">
        <v>0</v>
      </c>
      <c r="AU33" s="17"/>
      <c r="AV33" s="17">
        <f t="shared" si="5"/>
        <v>0</v>
      </c>
      <c r="AW33" s="17"/>
      <c r="AX33" s="4" t="s">
        <v>253</v>
      </c>
      <c r="AY33" s="17"/>
      <c r="AZ33" s="17">
        <v>0</v>
      </c>
      <c r="BA33" s="17"/>
      <c r="BB33" s="17">
        <v>0</v>
      </c>
      <c r="BC33" s="17"/>
      <c r="BD33" s="17">
        <v>0</v>
      </c>
      <c r="BE33" s="17"/>
      <c r="BF33" s="17">
        <v>0</v>
      </c>
      <c r="BG33" s="17"/>
      <c r="BH33" s="17"/>
      <c r="BI33" s="17"/>
      <c r="BJ33" s="1">
        <f t="shared" si="6"/>
        <v>0</v>
      </c>
    </row>
    <row r="34" spans="1:62" s="18" customFormat="1" ht="12" hidden="1">
      <c r="A34" s="4" t="s">
        <v>32</v>
      </c>
      <c r="B34" s="4"/>
      <c r="C34" s="17">
        <f t="shared" si="1"/>
        <v>0</v>
      </c>
      <c r="D34" s="17"/>
      <c r="E34" s="17">
        <v>0</v>
      </c>
      <c r="F34" s="17"/>
      <c r="G34" s="17">
        <v>0</v>
      </c>
      <c r="H34" s="17"/>
      <c r="I34" s="17">
        <f t="shared" si="9"/>
        <v>0</v>
      </c>
      <c r="J34" s="17"/>
      <c r="K34" s="17">
        <f t="shared" si="0"/>
        <v>0</v>
      </c>
      <c r="L34" s="17"/>
      <c r="M34" s="17">
        <v>0</v>
      </c>
      <c r="N34" s="17"/>
      <c r="O34" s="17">
        <v>0</v>
      </c>
      <c r="P34" s="17"/>
      <c r="Q34" s="17">
        <v>0</v>
      </c>
      <c r="R34" s="17"/>
      <c r="S34" s="17">
        <v>0</v>
      </c>
      <c r="T34" s="17"/>
      <c r="U34" s="17">
        <f t="shared" si="2"/>
        <v>0</v>
      </c>
      <c r="V34" s="17">
        <f t="shared" si="10"/>
        <v>0</v>
      </c>
      <c r="W34" s="17"/>
      <c r="X34" s="4" t="s">
        <v>32</v>
      </c>
      <c r="Y34" s="17"/>
      <c r="Z34" s="17">
        <v>0</v>
      </c>
      <c r="AA34" s="17"/>
      <c r="AB34" s="17">
        <v>0</v>
      </c>
      <c r="AC34" s="17"/>
      <c r="AD34" s="17">
        <v>0</v>
      </c>
      <c r="AE34" s="17"/>
      <c r="AF34" s="17">
        <f t="shared" si="3"/>
        <v>0</v>
      </c>
      <c r="AG34" s="17"/>
      <c r="AH34" s="17">
        <v>0</v>
      </c>
      <c r="AI34" s="17"/>
      <c r="AJ34" s="17">
        <v>0</v>
      </c>
      <c r="AK34" s="17"/>
      <c r="AL34" s="17">
        <v>0</v>
      </c>
      <c r="AM34" s="17"/>
      <c r="AN34" s="17">
        <v>0</v>
      </c>
      <c r="AO34" s="17"/>
      <c r="AP34" s="17">
        <f t="shared" si="4"/>
        <v>0</v>
      </c>
      <c r="AQ34" s="17"/>
      <c r="AR34" s="17">
        <v>0</v>
      </c>
      <c r="AS34" s="17"/>
      <c r="AT34" s="17">
        <v>0</v>
      </c>
      <c r="AU34" s="17"/>
      <c r="AV34" s="17">
        <f t="shared" si="5"/>
        <v>0</v>
      </c>
      <c r="AW34" s="17"/>
      <c r="AX34" s="4" t="s">
        <v>32</v>
      </c>
      <c r="AY34" s="17"/>
      <c r="AZ34" s="17">
        <v>0</v>
      </c>
      <c r="BA34" s="17"/>
      <c r="BB34" s="17">
        <v>0</v>
      </c>
      <c r="BC34" s="17"/>
      <c r="BD34" s="17">
        <v>0</v>
      </c>
      <c r="BE34" s="17"/>
      <c r="BF34" s="17">
        <v>0</v>
      </c>
      <c r="BG34" s="17"/>
      <c r="BH34" s="17"/>
      <c r="BI34" s="17"/>
      <c r="BJ34" s="1">
        <f t="shared" si="6"/>
        <v>0</v>
      </c>
    </row>
    <row r="35" spans="1:62" s="18" customFormat="1" ht="12">
      <c r="A35" s="4" t="s">
        <v>33</v>
      </c>
      <c r="B35" s="4"/>
      <c r="C35" s="17">
        <f t="shared" si="1"/>
        <v>2167101</v>
      </c>
      <c r="D35" s="17"/>
      <c r="E35" s="17">
        <v>15141329</v>
      </c>
      <c r="F35" s="17"/>
      <c r="G35" s="17">
        <v>17308430</v>
      </c>
      <c r="H35" s="17"/>
      <c r="I35" s="17">
        <f t="shared" si="9"/>
        <v>1076609</v>
      </c>
      <c r="J35" s="17"/>
      <c r="K35" s="17">
        <f t="shared" si="0"/>
        <v>5884793</v>
      </c>
      <c r="L35" s="17"/>
      <c r="M35" s="17">
        <v>6961402</v>
      </c>
      <c r="N35" s="17"/>
      <c r="O35" s="17">
        <v>8351969</v>
      </c>
      <c r="P35" s="17"/>
      <c r="Q35" s="17">
        <v>0</v>
      </c>
      <c r="R35" s="17"/>
      <c r="S35" s="17">
        <v>1995059</v>
      </c>
      <c r="T35" s="17"/>
      <c r="U35" s="17">
        <f t="shared" si="2"/>
        <v>10347028</v>
      </c>
      <c r="V35" s="17">
        <f t="shared" si="10"/>
        <v>0</v>
      </c>
      <c r="W35" s="17"/>
      <c r="X35" s="4" t="s">
        <v>33</v>
      </c>
      <c r="Y35" s="17"/>
      <c r="Z35" s="17">
        <v>1800943</v>
      </c>
      <c r="AA35" s="17"/>
      <c r="AB35" s="17">
        <f>1956883-385567</f>
        <v>1571316</v>
      </c>
      <c r="AC35" s="17"/>
      <c r="AD35" s="17">
        <v>385567</v>
      </c>
      <c r="AE35" s="17"/>
      <c r="AF35" s="17">
        <f t="shared" si="3"/>
        <v>-155940</v>
      </c>
      <c r="AG35" s="17"/>
      <c r="AH35" s="17">
        <v>-320566</v>
      </c>
      <c r="AI35" s="17"/>
      <c r="AJ35" s="17">
        <v>4602</v>
      </c>
      <c r="AK35" s="17"/>
      <c r="AL35" s="17">
        <v>0</v>
      </c>
      <c r="AM35" s="17"/>
      <c r="AN35" s="17">
        <v>1155164</v>
      </c>
      <c r="AO35" s="17"/>
      <c r="AP35" s="17">
        <f t="shared" si="4"/>
        <v>683260</v>
      </c>
      <c r="AQ35" s="17"/>
      <c r="AR35" s="17">
        <v>0</v>
      </c>
      <c r="AS35" s="17"/>
      <c r="AT35" s="17">
        <v>0</v>
      </c>
      <c r="AU35" s="17"/>
      <c r="AV35" s="17">
        <f t="shared" si="5"/>
        <v>1090492</v>
      </c>
      <c r="AW35" s="17"/>
      <c r="AX35" s="4" t="s">
        <v>33</v>
      </c>
      <c r="AY35" s="17"/>
      <c r="AZ35" s="17">
        <v>0</v>
      </c>
      <c r="BA35" s="17"/>
      <c r="BB35" s="17">
        <v>0</v>
      </c>
      <c r="BC35" s="17"/>
      <c r="BD35" s="17">
        <f>265156+5464433</f>
        <v>5729589</v>
      </c>
      <c r="BE35" s="17"/>
      <c r="BF35" s="17">
        <f>1371+153833</f>
        <v>155204</v>
      </c>
      <c r="BG35" s="17"/>
      <c r="BH35" s="17"/>
      <c r="BI35" s="17"/>
      <c r="BJ35" s="1">
        <f t="shared" si="6"/>
        <v>5884793</v>
      </c>
    </row>
    <row r="36" spans="1:62" s="18" customFormat="1" ht="12" hidden="1">
      <c r="A36" s="4" t="s">
        <v>34</v>
      </c>
      <c r="B36" s="4"/>
      <c r="C36" s="17">
        <f t="shared" si="1"/>
        <v>0</v>
      </c>
      <c r="D36" s="17"/>
      <c r="E36" s="17">
        <v>0</v>
      </c>
      <c r="F36" s="17"/>
      <c r="G36" s="17">
        <v>0</v>
      </c>
      <c r="H36" s="17"/>
      <c r="I36" s="17">
        <f t="shared" si="9"/>
        <v>0</v>
      </c>
      <c r="J36" s="17"/>
      <c r="K36" s="17">
        <f t="shared" si="0"/>
        <v>0</v>
      </c>
      <c r="L36" s="17"/>
      <c r="M36" s="17">
        <v>0</v>
      </c>
      <c r="N36" s="17"/>
      <c r="O36" s="17">
        <v>0</v>
      </c>
      <c r="P36" s="17"/>
      <c r="Q36" s="17">
        <v>0</v>
      </c>
      <c r="R36" s="17"/>
      <c r="S36" s="17">
        <v>0</v>
      </c>
      <c r="T36" s="17"/>
      <c r="U36" s="17">
        <f t="shared" si="2"/>
        <v>0</v>
      </c>
      <c r="V36" s="17">
        <f t="shared" si="10"/>
        <v>0</v>
      </c>
      <c r="W36" s="17"/>
      <c r="X36" s="4" t="s">
        <v>34</v>
      </c>
      <c r="Y36" s="17"/>
      <c r="Z36" s="17">
        <v>0</v>
      </c>
      <c r="AA36" s="17"/>
      <c r="AB36" s="17">
        <v>0</v>
      </c>
      <c r="AC36" s="17"/>
      <c r="AD36" s="17">
        <v>0</v>
      </c>
      <c r="AE36" s="17"/>
      <c r="AF36" s="17">
        <f t="shared" si="3"/>
        <v>0</v>
      </c>
      <c r="AG36" s="17"/>
      <c r="AH36" s="17">
        <v>0</v>
      </c>
      <c r="AI36" s="17"/>
      <c r="AJ36" s="17">
        <v>0</v>
      </c>
      <c r="AK36" s="17"/>
      <c r="AL36" s="17">
        <v>0</v>
      </c>
      <c r="AM36" s="17"/>
      <c r="AN36" s="17">
        <v>0</v>
      </c>
      <c r="AO36" s="17"/>
      <c r="AP36" s="17">
        <f t="shared" si="4"/>
        <v>0</v>
      </c>
      <c r="AQ36" s="17"/>
      <c r="AR36" s="17">
        <v>0</v>
      </c>
      <c r="AS36" s="17"/>
      <c r="AT36" s="17">
        <v>0</v>
      </c>
      <c r="AU36" s="17"/>
      <c r="AV36" s="17">
        <f t="shared" si="5"/>
        <v>0</v>
      </c>
      <c r="AW36" s="17"/>
      <c r="AX36" s="4" t="s">
        <v>34</v>
      </c>
      <c r="AY36" s="17"/>
      <c r="AZ36" s="17">
        <v>0</v>
      </c>
      <c r="BA36" s="17"/>
      <c r="BB36" s="17">
        <v>0</v>
      </c>
      <c r="BC36" s="17"/>
      <c r="BD36" s="17">
        <v>0</v>
      </c>
      <c r="BE36" s="17"/>
      <c r="BF36" s="17">
        <v>0</v>
      </c>
      <c r="BG36" s="17"/>
      <c r="BH36" s="17"/>
      <c r="BI36" s="17"/>
      <c r="BJ36" s="1">
        <f t="shared" si="6"/>
        <v>0</v>
      </c>
    </row>
    <row r="37" spans="1:62" s="18" customFormat="1" ht="12">
      <c r="A37" s="4" t="s">
        <v>35</v>
      </c>
      <c r="B37" s="4"/>
      <c r="C37" s="17">
        <f t="shared" si="1"/>
        <v>5019775</v>
      </c>
      <c r="D37" s="17"/>
      <c r="E37" s="17">
        <v>23219281</v>
      </c>
      <c r="F37" s="17"/>
      <c r="G37" s="17">
        <v>28239056</v>
      </c>
      <c r="H37" s="17"/>
      <c r="I37" s="17">
        <f t="shared" si="9"/>
        <v>746065</v>
      </c>
      <c r="J37" s="17"/>
      <c r="K37" s="17">
        <f t="shared" si="0"/>
        <v>16547522</v>
      </c>
      <c r="L37" s="17"/>
      <c r="M37" s="17">
        <v>17293587</v>
      </c>
      <c r="N37" s="17"/>
      <c r="O37" s="17">
        <v>6856987</v>
      </c>
      <c r="P37" s="17"/>
      <c r="Q37" s="17">
        <v>0</v>
      </c>
      <c r="R37" s="17"/>
      <c r="S37" s="17">
        <v>4088482</v>
      </c>
      <c r="T37" s="17"/>
      <c r="U37" s="17">
        <f t="shared" si="2"/>
        <v>10945469</v>
      </c>
      <c r="V37" s="17">
        <f t="shared" si="10"/>
        <v>0</v>
      </c>
      <c r="W37" s="17"/>
      <c r="X37" s="4" t="s">
        <v>35</v>
      </c>
      <c r="Y37" s="17"/>
      <c r="Z37" s="17">
        <v>6372014</v>
      </c>
      <c r="AA37" s="17"/>
      <c r="AB37" s="17">
        <f>11397525-1217869</f>
        <v>10179656</v>
      </c>
      <c r="AC37" s="17"/>
      <c r="AD37" s="17">
        <v>1217869</v>
      </c>
      <c r="AE37" s="17"/>
      <c r="AF37" s="17">
        <f t="shared" si="3"/>
        <v>-5025511</v>
      </c>
      <c r="AG37" s="17"/>
      <c r="AH37" s="17">
        <v>859618</v>
      </c>
      <c r="AI37" s="17"/>
      <c r="AJ37" s="17">
        <v>705021</v>
      </c>
      <c r="AK37" s="17"/>
      <c r="AL37" s="17">
        <v>293719</v>
      </c>
      <c r="AM37" s="17"/>
      <c r="AN37" s="17">
        <v>288400</v>
      </c>
      <c r="AO37" s="17"/>
      <c r="AP37" s="17">
        <f t="shared" si="4"/>
        <v>-3466191</v>
      </c>
      <c r="AQ37" s="17"/>
      <c r="AR37" s="17">
        <v>0</v>
      </c>
      <c r="AS37" s="17"/>
      <c r="AT37" s="17">
        <v>0</v>
      </c>
      <c r="AU37" s="17"/>
      <c r="AV37" s="17">
        <f t="shared" si="5"/>
        <v>4273710</v>
      </c>
      <c r="AW37" s="17"/>
      <c r="AX37" s="4" t="s">
        <v>35</v>
      </c>
      <c r="AY37" s="17"/>
      <c r="AZ37" s="17">
        <v>0</v>
      </c>
      <c r="BA37" s="17"/>
      <c r="BB37" s="17">
        <f>143000</f>
        <v>143000</v>
      </c>
      <c r="BC37" s="17"/>
      <c r="BD37" s="17">
        <f>341251+15878043</f>
        <v>16219294</v>
      </c>
      <c r="BE37" s="17"/>
      <c r="BF37" s="17">
        <v>185228</v>
      </c>
      <c r="BG37" s="17"/>
      <c r="BH37" s="17"/>
      <c r="BI37" s="17"/>
      <c r="BJ37" s="1">
        <f t="shared" si="6"/>
        <v>16547522</v>
      </c>
    </row>
    <row r="38" spans="1:62" s="18" customFormat="1" ht="12">
      <c r="A38" s="4" t="s">
        <v>185</v>
      </c>
      <c r="B38" s="4"/>
      <c r="C38" s="17">
        <f t="shared" si="1"/>
        <v>11289979</v>
      </c>
      <c r="D38" s="17"/>
      <c r="E38" s="17">
        <v>67248317</v>
      </c>
      <c r="F38" s="17"/>
      <c r="G38" s="17">
        <v>78538296</v>
      </c>
      <c r="H38" s="17"/>
      <c r="I38" s="17">
        <f t="shared" si="9"/>
        <v>6851430</v>
      </c>
      <c r="J38" s="17"/>
      <c r="K38" s="17">
        <f t="shared" si="0"/>
        <v>33896124</v>
      </c>
      <c r="L38" s="17"/>
      <c r="M38" s="17">
        <v>40747554</v>
      </c>
      <c r="N38" s="17"/>
      <c r="O38" s="17">
        <v>29980229</v>
      </c>
      <c r="P38" s="17"/>
      <c r="Q38" s="17">
        <v>821593</v>
      </c>
      <c r="R38" s="17"/>
      <c r="S38" s="17">
        <v>6988920</v>
      </c>
      <c r="T38" s="17"/>
      <c r="U38" s="17">
        <f t="shared" si="2"/>
        <v>37790742</v>
      </c>
      <c r="V38" s="17">
        <f t="shared" si="10"/>
        <v>0</v>
      </c>
      <c r="W38" s="17"/>
      <c r="X38" s="4" t="s">
        <v>185</v>
      </c>
      <c r="Y38" s="17"/>
      <c r="Z38" s="17">
        <v>9216392</v>
      </c>
      <c r="AA38" s="17"/>
      <c r="AB38" s="17">
        <f>6215498-1801309</f>
        <v>4414189</v>
      </c>
      <c r="AC38" s="17"/>
      <c r="AD38" s="17">
        <v>1801309</v>
      </c>
      <c r="AE38" s="17"/>
      <c r="AF38" s="17">
        <f t="shared" si="3"/>
        <v>3000894</v>
      </c>
      <c r="AG38" s="17"/>
      <c r="AH38" s="17">
        <v>-1733687</v>
      </c>
      <c r="AI38" s="17"/>
      <c r="AJ38" s="17">
        <v>86266</v>
      </c>
      <c r="AK38" s="17"/>
      <c r="AL38" s="17">
        <v>894</v>
      </c>
      <c r="AM38" s="17"/>
      <c r="AN38" s="17">
        <v>1374804</v>
      </c>
      <c r="AO38" s="17"/>
      <c r="AP38" s="17">
        <f t="shared" si="4"/>
        <v>2727383</v>
      </c>
      <c r="AQ38" s="17"/>
      <c r="AR38" s="17">
        <v>0</v>
      </c>
      <c r="AS38" s="17"/>
      <c r="AT38" s="17">
        <v>0</v>
      </c>
      <c r="AU38" s="17"/>
      <c r="AV38" s="17">
        <f t="shared" si="5"/>
        <v>4438549</v>
      </c>
      <c r="AW38" s="17"/>
      <c r="AX38" s="4" t="s">
        <v>185</v>
      </c>
      <c r="AY38" s="17"/>
      <c r="AZ38" s="17">
        <v>4395000</v>
      </c>
      <c r="BA38" s="17"/>
      <c r="BB38" s="17">
        <f>9270000</f>
        <v>9270000</v>
      </c>
      <c r="BC38" s="17"/>
      <c r="BD38" s="17">
        <v>1282216</v>
      </c>
      <c r="BE38" s="17"/>
      <c r="BF38" s="17">
        <f>385000+17321443+1242465</f>
        <v>18948908</v>
      </c>
      <c r="BG38" s="17"/>
      <c r="BH38" s="17"/>
      <c r="BI38" s="17"/>
      <c r="BJ38" s="1">
        <f t="shared" si="6"/>
        <v>33896124</v>
      </c>
    </row>
    <row r="39" spans="1:62" s="18" customFormat="1" ht="12" hidden="1">
      <c r="A39" s="4" t="s">
        <v>258</v>
      </c>
      <c r="B39" s="4"/>
      <c r="C39" s="17">
        <f t="shared" si="1"/>
        <v>0</v>
      </c>
      <c r="D39" s="17"/>
      <c r="E39" s="17"/>
      <c r="F39" s="17"/>
      <c r="G39" s="17"/>
      <c r="H39" s="17"/>
      <c r="I39" s="17">
        <f t="shared" si="9"/>
        <v>0</v>
      </c>
      <c r="J39" s="17"/>
      <c r="K39" s="17">
        <f t="shared" si="0"/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>
        <f t="shared" si="2"/>
        <v>0</v>
      </c>
      <c r="V39" s="17">
        <f t="shared" si="10"/>
        <v>0</v>
      </c>
      <c r="W39" s="17"/>
      <c r="X39" s="4" t="s">
        <v>36</v>
      </c>
      <c r="Y39" s="17"/>
      <c r="Z39" s="17"/>
      <c r="AA39" s="17"/>
      <c r="AB39" s="17"/>
      <c r="AC39" s="17"/>
      <c r="AD39" s="17"/>
      <c r="AE39" s="17"/>
      <c r="AF39" s="17">
        <f t="shared" si="3"/>
        <v>0</v>
      </c>
      <c r="AG39" s="17"/>
      <c r="AH39" s="17"/>
      <c r="AI39" s="17"/>
      <c r="AJ39" s="17"/>
      <c r="AK39" s="17"/>
      <c r="AL39" s="17"/>
      <c r="AM39" s="17"/>
      <c r="AN39" s="17"/>
      <c r="AO39" s="17"/>
      <c r="AP39" s="17">
        <f t="shared" si="4"/>
        <v>0</v>
      </c>
      <c r="AQ39" s="17"/>
      <c r="AR39" s="17">
        <v>0</v>
      </c>
      <c r="AS39" s="17"/>
      <c r="AT39" s="17">
        <v>0</v>
      </c>
      <c r="AU39" s="17"/>
      <c r="AV39" s="17">
        <f t="shared" si="5"/>
        <v>0</v>
      </c>
      <c r="AW39" s="17"/>
      <c r="AX39" s="4" t="s">
        <v>36</v>
      </c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">
        <f t="shared" si="6"/>
        <v>0</v>
      </c>
    </row>
    <row r="40" spans="1:62" s="18" customFormat="1" ht="12" hidden="1">
      <c r="A40" s="4" t="s">
        <v>259</v>
      </c>
      <c r="B40" s="4"/>
      <c r="C40" s="17">
        <f t="shared" si="1"/>
        <v>0</v>
      </c>
      <c r="D40" s="17"/>
      <c r="E40" s="17">
        <v>0</v>
      </c>
      <c r="F40" s="17"/>
      <c r="G40" s="17">
        <v>0</v>
      </c>
      <c r="H40" s="17"/>
      <c r="I40" s="17">
        <f t="shared" si="9"/>
        <v>0</v>
      </c>
      <c r="J40" s="17"/>
      <c r="K40" s="17">
        <f t="shared" si="0"/>
        <v>0</v>
      </c>
      <c r="L40" s="17"/>
      <c r="M40" s="17">
        <v>0</v>
      </c>
      <c r="N40" s="17"/>
      <c r="O40" s="17">
        <v>0</v>
      </c>
      <c r="P40" s="17"/>
      <c r="Q40" s="17">
        <v>0</v>
      </c>
      <c r="R40" s="17"/>
      <c r="S40" s="17">
        <v>0</v>
      </c>
      <c r="T40" s="17"/>
      <c r="U40" s="17">
        <f t="shared" si="2"/>
        <v>0</v>
      </c>
      <c r="V40" s="17">
        <f t="shared" si="10"/>
        <v>0</v>
      </c>
      <c r="W40" s="17"/>
      <c r="X40" s="4" t="s">
        <v>37</v>
      </c>
      <c r="Y40" s="17"/>
      <c r="Z40" s="17">
        <v>0</v>
      </c>
      <c r="AA40" s="17"/>
      <c r="AB40" s="17">
        <v>0</v>
      </c>
      <c r="AC40" s="17"/>
      <c r="AD40" s="17">
        <v>0</v>
      </c>
      <c r="AE40" s="17"/>
      <c r="AF40" s="17">
        <f t="shared" si="3"/>
        <v>0</v>
      </c>
      <c r="AG40" s="17"/>
      <c r="AH40" s="17">
        <v>0</v>
      </c>
      <c r="AI40" s="17"/>
      <c r="AJ40" s="17">
        <v>0</v>
      </c>
      <c r="AK40" s="17"/>
      <c r="AL40" s="17">
        <v>0</v>
      </c>
      <c r="AM40" s="17"/>
      <c r="AN40" s="17">
        <v>0</v>
      </c>
      <c r="AO40" s="17"/>
      <c r="AP40" s="17">
        <f t="shared" si="4"/>
        <v>0</v>
      </c>
      <c r="AQ40" s="17"/>
      <c r="AR40" s="17">
        <v>0</v>
      </c>
      <c r="AS40" s="17"/>
      <c r="AT40" s="17">
        <v>0</v>
      </c>
      <c r="AU40" s="17"/>
      <c r="AV40" s="17">
        <f t="shared" si="5"/>
        <v>0</v>
      </c>
      <c r="AW40" s="17"/>
      <c r="AX40" s="4" t="s">
        <v>37</v>
      </c>
      <c r="AY40" s="17"/>
      <c r="AZ40" s="17">
        <v>0</v>
      </c>
      <c r="BA40" s="17"/>
      <c r="BB40" s="17">
        <v>0</v>
      </c>
      <c r="BC40" s="17"/>
      <c r="BD40" s="17">
        <v>0</v>
      </c>
      <c r="BE40" s="17"/>
      <c r="BF40" s="17">
        <v>0</v>
      </c>
      <c r="BG40" s="17"/>
      <c r="BH40" s="17"/>
      <c r="BI40" s="17"/>
      <c r="BJ40" s="1">
        <f t="shared" si="6"/>
        <v>0</v>
      </c>
    </row>
    <row r="41" spans="1:62" s="18" customFormat="1" ht="12" hidden="1">
      <c r="A41" s="4" t="s">
        <v>38</v>
      </c>
      <c r="B41" s="4"/>
      <c r="C41" s="17">
        <f t="shared" si="1"/>
        <v>0</v>
      </c>
      <c r="D41" s="17"/>
      <c r="E41" s="17">
        <v>0</v>
      </c>
      <c r="F41" s="17"/>
      <c r="G41" s="17">
        <v>0</v>
      </c>
      <c r="H41" s="17"/>
      <c r="I41" s="17">
        <f t="shared" si="9"/>
        <v>0</v>
      </c>
      <c r="J41" s="17"/>
      <c r="K41" s="17">
        <f t="shared" si="0"/>
        <v>0</v>
      </c>
      <c r="L41" s="17"/>
      <c r="M41" s="17">
        <v>0</v>
      </c>
      <c r="N41" s="17"/>
      <c r="O41" s="17">
        <v>0</v>
      </c>
      <c r="P41" s="17"/>
      <c r="Q41" s="17">
        <v>0</v>
      </c>
      <c r="R41" s="17"/>
      <c r="S41" s="17">
        <v>0</v>
      </c>
      <c r="T41" s="17"/>
      <c r="U41" s="17">
        <f t="shared" si="2"/>
        <v>0</v>
      </c>
      <c r="V41" s="17">
        <f t="shared" si="10"/>
        <v>0</v>
      </c>
      <c r="W41" s="17"/>
      <c r="X41" s="4" t="s">
        <v>38</v>
      </c>
      <c r="Y41" s="17"/>
      <c r="Z41" s="17">
        <v>0</v>
      </c>
      <c r="AA41" s="17"/>
      <c r="AB41" s="17">
        <v>0</v>
      </c>
      <c r="AC41" s="17"/>
      <c r="AD41" s="17">
        <v>0</v>
      </c>
      <c r="AE41" s="17"/>
      <c r="AF41" s="17">
        <f t="shared" si="3"/>
        <v>0</v>
      </c>
      <c r="AG41" s="17"/>
      <c r="AH41" s="17">
        <v>0</v>
      </c>
      <c r="AI41" s="17"/>
      <c r="AJ41" s="17">
        <v>0</v>
      </c>
      <c r="AK41" s="17"/>
      <c r="AL41" s="17">
        <v>0</v>
      </c>
      <c r="AM41" s="17"/>
      <c r="AN41" s="17">
        <v>0</v>
      </c>
      <c r="AO41" s="17"/>
      <c r="AP41" s="17">
        <f t="shared" si="4"/>
        <v>0</v>
      </c>
      <c r="AQ41" s="17"/>
      <c r="AR41" s="17">
        <v>0</v>
      </c>
      <c r="AS41" s="17"/>
      <c r="AT41" s="17">
        <v>0</v>
      </c>
      <c r="AU41" s="17"/>
      <c r="AV41" s="17">
        <f t="shared" si="5"/>
        <v>0</v>
      </c>
      <c r="AW41" s="17"/>
      <c r="AX41" s="4" t="s">
        <v>38</v>
      </c>
      <c r="AY41" s="17"/>
      <c r="AZ41" s="17">
        <v>0</v>
      </c>
      <c r="BA41" s="17"/>
      <c r="BB41" s="17">
        <v>0</v>
      </c>
      <c r="BC41" s="17"/>
      <c r="BD41" s="17">
        <v>0</v>
      </c>
      <c r="BE41" s="17"/>
      <c r="BF41" s="17">
        <v>0</v>
      </c>
      <c r="BG41" s="17"/>
      <c r="BH41" s="17"/>
      <c r="BI41" s="17"/>
      <c r="BJ41" s="1">
        <f t="shared" si="6"/>
        <v>0</v>
      </c>
    </row>
    <row r="42" spans="1:62" s="18" customFormat="1" ht="12" hidden="1">
      <c r="A42" s="4" t="s">
        <v>168</v>
      </c>
      <c r="B42" s="4"/>
      <c r="C42" s="17">
        <f t="shared" si="1"/>
        <v>0</v>
      </c>
      <c r="D42" s="17"/>
      <c r="E42" s="17">
        <v>0</v>
      </c>
      <c r="F42" s="17"/>
      <c r="G42" s="17">
        <v>0</v>
      </c>
      <c r="H42" s="17"/>
      <c r="I42" s="17">
        <f t="shared" si="9"/>
        <v>0</v>
      </c>
      <c r="J42" s="17"/>
      <c r="K42" s="17">
        <f t="shared" si="0"/>
        <v>0</v>
      </c>
      <c r="L42" s="17"/>
      <c r="M42" s="17">
        <v>0</v>
      </c>
      <c r="N42" s="17"/>
      <c r="O42" s="17">
        <v>0</v>
      </c>
      <c r="P42" s="17"/>
      <c r="Q42" s="17">
        <v>0</v>
      </c>
      <c r="R42" s="17"/>
      <c r="S42" s="17">
        <v>0</v>
      </c>
      <c r="T42" s="17"/>
      <c r="U42" s="17">
        <f t="shared" si="2"/>
        <v>0</v>
      </c>
      <c r="V42" s="17">
        <f t="shared" si="10"/>
        <v>0</v>
      </c>
      <c r="W42" s="17"/>
      <c r="X42" s="4" t="s">
        <v>168</v>
      </c>
      <c r="Y42" s="17"/>
      <c r="Z42" s="17">
        <v>0</v>
      </c>
      <c r="AA42" s="17"/>
      <c r="AB42" s="17">
        <v>0</v>
      </c>
      <c r="AC42" s="17"/>
      <c r="AD42" s="17">
        <v>0</v>
      </c>
      <c r="AE42" s="17"/>
      <c r="AF42" s="17">
        <f t="shared" si="3"/>
        <v>0</v>
      </c>
      <c r="AG42" s="17"/>
      <c r="AH42" s="17">
        <v>0</v>
      </c>
      <c r="AI42" s="17"/>
      <c r="AJ42" s="17">
        <v>0</v>
      </c>
      <c r="AK42" s="17"/>
      <c r="AL42" s="17">
        <v>0</v>
      </c>
      <c r="AM42" s="17"/>
      <c r="AN42" s="17">
        <v>0</v>
      </c>
      <c r="AO42" s="17"/>
      <c r="AP42" s="17">
        <f t="shared" si="4"/>
        <v>0</v>
      </c>
      <c r="AQ42" s="17"/>
      <c r="AR42" s="17">
        <v>0</v>
      </c>
      <c r="AS42" s="17"/>
      <c r="AT42" s="17">
        <v>0</v>
      </c>
      <c r="AU42" s="17"/>
      <c r="AV42" s="17">
        <f t="shared" si="5"/>
        <v>0</v>
      </c>
      <c r="AW42" s="17"/>
      <c r="AX42" s="4" t="s">
        <v>168</v>
      </c>
      <c r="AY42" s="17"/>
      <c r="AZ42" s="17">
        <v>0</v>
      </c>
      <c r="BA42" s="17"/>
      <c r="BB42" s="17">
        <v>0</v>
      </c>
      <c r="BC42" s="17"/>
      <c r="BD42" s="17">
        <v>0</v>
      </c>
      <c r="BE42" s="17"/>
      <c r="BF42" s="17">
        <v>0</v>
      </c>
      <c r="BG42" s="17"/>
      <c r="BH42" s="17"/>
      <c r="BI42" s="17"/>
      <c r="BJ42" s="1">
        <f t="shared" si="6"/>
        <v>0</v>
      </c>
    </row>
    <row r="43" spans="1:62" s="18" customFormat="1" ht="12" hidden="1">
      <c r="A43" s="4" t="s">
        <v>39</v>
      </c>
      <c r="B43" s="4"/>
      <c r="C43" s="17">
        <f t="shared" si="1"/>
        <v>0</v>
      </c>
      <c r="D43" s="17"/>
      <c r="E43" s="17">
        <v>0</v>
      </c>
      <c r="F43" s="17"/>
      <c r="G43" s="17">
        <v>0</v>
      </c>
      <c r="H43" s="17"/>
      <c r="I43" s="17">
        <f t="shared" si="9"/>
        <v>0</v>
      </c>
      <c r="J43" s="17"/>
      <c r="K43" s="17">
        <f aca="true" t="shared" si="11" ref="K43:K76">SUM(BJ43)</f>
        <v>0</v>
      </c>
      <c r="L43" s="17"/>
      <c r="M43" s="17">
        <v>0</v>
      </c>
      <c r="N43" s="17"/>
      <c r="O43" s="17">
        <v>0</v>
      </c>
      <c r="P43" s="17"/>
      <c r="Q43" s="17">
        <v>0</v>
      </c>
      <c r="R43" s="17"/>
      <c r="S43" s="17">
        <v>0</v>
      </c>
      <c r="T43" s="17"/>
      <c r="U43" s="17">
        <f t="shared" si="2"/>
        <v>0</v>
      </c>
      <c r="V43" s="17">
        <f t="shared" si="10"/>
        <v>0</v>
      </c>
      <c r="W43" s="17"/>
      <c r="X43" s="4" t="s">
        <v>39</v>
      </c>
      <c r="Y43" s="17"/>
      <c r="Z43" s="17">
        <v>0</v>
      </c>
      <c r="AA43" s="17"/>
      <c r="AB43" s="17">
        <v>0</v>
      </c>
      <c r="AC43" s="17"/>
      <c r="AD43" s="17">
        <v>0</v>
      </c>
      <c r="AE43" s="17"/>
      <c r="AF43" s="17">
        <f t="shared" si="3"/>
        <v>0</v>
      </c>
      <c r="AG43" s="17"/>
      <c r="AH43" s="17">
        <v>0</v>
      </c>
      <c r="AI43" s="17"/>
      <c r="AJ43" s="17">
        <v>0</v>
      </c>
      <c r="AK43" s="17"/>
      <c r="AL43" s="17">
        <v>0</v>
      </c>
      <c r="AM43" s="17"/>
      <c r="AN43" s="17">
        <v>0</v>
      </c>
      <c r="AO43" s="17"/>
      <c r="AP43" s="17">
        <f t="shared" si="4"/>
        <v>0</v>
      </c>
      <c r="AQ43" s="17"/>
      <c r="AR43" s="17">
        <v>0</v>
      </c>
      <c r="AS43" s="17"/>
      <c r="AT43" s="17">
        <v>0</v>
      </c>
      <c r="AU43" s="17"/>
      <c r="AV43" s="17">
        <f t="shared" si="5"/>
        <v>0</v>
      </c>
      <c r="AW43" s="17"/>
      <c r="AX43" s="4" t="s">
        <v>39</v>
      </c>
      <c r="AY43" s="17"/>
      <c r="AZ43" s="17">
        <v>0</v>
      </c>
      <c r="BA43" s="17"/>
      <c r="BB43" s="17">
        <v>0</v>
      </c>
      <c r="BC43" s="17"/>
      <c r="BD43" s="17">
        <v>0</v>
      </c>
      <c r="BE43" s="17"/>
      <c r="BF43" s="17">
        <v>0</v>
      </c>
      <c r="BG43" s="17"/>
      <c r="BH43" s="17"/>
      <c r="BI43" s="17"/>
      <c r="BJ43" s="1">
        <f t="shared" si="6"/>
        <v>0</v>
      </c>
    </row>
    <row r="44" spans="1:62" s="18" customFormat="1" ht="12" hidden="1">
      <c r="A44" s="4" t="s">
        <v>40</v>
      </c>
      <c r="B44" s="4"/>
      <c r="C44" s="17">
        <f t="shared" si="1"/>
        <v>0</v>
      </c>
      <c r="D44" s="17"/>
      <c r="E44" s="17">
        <v>0</v>
      </c>
      <c r="F44" s="17"/>
      <c r="G44" s="17">
        <v>0</v>
      </c>
      <c r="H44" s="17"/>
      <c r="I44" s="17">
        <f t="shared" si="9"/>
        <v>0</v>
      </c>
      <c r="J44" s="17"/>
      <c r="K44" s="17">
        <f t="shared" si="11"/>
        <v>0</v>
      </c>
      <c r="L44" s="17"/>
      <c r="M44" s="17">
        <v>0</v>
      </c>
      <c r="N44" s="17"/>
      <c r="O44" s="17">
        <v>0</v>
      </c>
      <c r="P44" s="17"/>
      <c r="Q44" s="17">
        <v>0</v>
      </c>
      <c r="R44" s="17"/>
      <c r="S44" s="17">
        <v>0</v>
      </c>
      <c r="T44" s="17"/>
      <c r="U44" s="17">
        <f t="shared" si="2"/>
        <v>0</v>
      </c>
      <c r="V44" s="17">
        <f t="shared" si="10"/>
        <v>0</v>
      </c>
      <c r="W44" s="17"/>
      <c r="X44" s="4" t="s">
        <v>40</v>
      </c>
      <c r="Y44" s="17"/>
      <c r="Z44" s="17">
        <v>0</v>
      </c>
      <c r="AA44" s="17"/>
      <c r="AB44" s="17">
        <v>0</v>
      </c>
      <c r="AC44" s="17"/>
      <c r="AD44" s="17">
        <v>0</v>
      </c>
      <c r="AE44" s="17"/>
      <c r="AF44" s="17">
        <f t="shared" si="3"/>
        <v>0</v>
      </c>
      <c r="AG44" s="17"/>
      <c r="AH44" s="17">
        <v>0</v>
      </c>
      <c r="AI44" s="17"/>
      <c r="AJ44" s="17">
        <v>0</v>
      </c>
      <c r="AK44" s="17"/>
      <c r="AL44" s="17">
        <v>0</v>
      </c>
      <c r="AM44" s="17"/>
      <c r="AN44" s="17">
        <v>0</v>
      </c>
      <c r="AO44" s="17"/>
      <c r="AP44" s="17">
        <f t="shared" si="4"/>
        <v>0</v>
      </c>
      <c r="AQ44" s="17"/>
      <c r="AR44" s="17">
        <v>0</v>
      </c>
      <c r="AS44" s="17"/>
      <c r="AT44" s="17">
        <v>0</v>
      </c>
      <c r="AU44" s="17"/>
      <c r="AV44" s="17">
        <f t="shared" si="5"/>
        <v>0</v>
      </c>
      <c r="AW44" s="17"/>
      <c r="AX44" s="4" t="s">
        <v>40</v>
      </c>
      <c r="AY44" s="17"/>
      <c r="AZ44" s="17">
        <v>0</v>
      </c>
      <c r="BA44" s="17"/>
      <c r="BB44" s="17">
        <v>0</v>
      </c>
      <c r="BC44" s="17"/>
      <c r="BD44" s="17">
        <v>0</v>
      </c>
      <c r="BE44" s="17"/>
      <c r="BF44" s="17">
        <v>0</v>
      </c>
      <c r="BG44" s="17"/>
      <c r="BH44" s="17"/>
      <c r="BI44" s="17"/>
      <c r="BJ44" s="1">
        <f t="shared" si="6"/>
        <v>0</v>
      </c>
    </row>
    <row r="45" spans="1:62" s="18" customFormat="1" ht="12" hidden="1">
      <c r="A45" s="4" t="s">
        <v>41</v>
      </c>
      <c r="B45" s="4"/>
      <c r="C45" s="17">
        <f t="shared" si="1"/>
        <v>0</v>
      </c>
      <c r="D45" s="17"/>
      <c r="E45" s="17">
        <v>0</v>
      </c>
      <c r="F45" s="17"/>
      <c r="G45" s="17">
        <v>0</v>
      </c>
      <c r="H45" s="17"/>
      <c r="I45" s="17">
        <f t="shared" si="9"/>
        <v>0</v>
      </c>
      <c r="J45" s="17"/>
      <c r="K45" s="17">
        <f t="shared" si="11"/>
        <v>0</v>
      </c>
      <c r="L45" s="17"/>
      <c r="M45" s="17">
        <v>0</v>
      </c>
      <c r="N45" s="17"/>
      <c r="O45" s="17">
        <v>0</v>
      </c>
      <c r="P45" s="17"/>
      <c r="Q45" s="17">
        <v>0</v>
      </c>
      <c r="R45" s="17"/>
      <c r="S45" s="17">
        <v>0</v>
      </c>
      <c r="T45" s="17"/>
      <c r="U45" s="17">
        <f t="shared" si="2"/>
        <v>0</v>
      </c>
      <c r="V45" s="17">
        <f t="shared" si="10"/>
        <v>0</v>
      </c>
      <c r="W45" s="17"/>
      <c r="X45" s="4" t="s">
        <v>41</v>
      </c>
      <c r="Y45" s="17"/>
      <c r="Z45" s="17">
        <v>0</v>
      </c>
      <c r="AA45" s="17"/>
      <c r="AB45" s="17">
        <v>0</v>
      </c>
      <c r="AC45" s="17"/>
      <c r="AD45" s="17">
        <v>0</v>
      </c>
      <c r="AE45" s="17"/>
      <c r="AF45" s="17">
        <f t="shared" si="3"/>
        <v>0</v>
      </c>
      <c r="AG45" s="17"/>
      <c r="AH45" s="17">
        <v>0</v>
      </c>
      <c r="AI45" s="17"/>
      <c r="AJ45" s="17">
        <v>0</v>
      </c>
      <c r="AK45" s="17"/>
      <c r="AL45" s="17">
        <v>0</v>
      </c>
      <c r="AM45" s="17"/>
      <c r="AN45" s="17">
        <v>0</v>
      </c>
      <c r="AO45" s="17"/>
      <c r="AP45" s="17">
        <f t="shared" si="4"/>
        <v>0</v>
      </c>
      <c r="AQ45" s="17"/>
      <c r="AR45" s="17">
        <v>0</v>
      </c>
      <c r="AS45" s="17"/>
      <c r="AT45" s="17">
        <v>0</v>
      </c>
      <c r="AU45" s="17"/>
      <c r="AV45" s="17">
        <f t="shared" si="5"/>
        <v>0</v>
      </c>
      <c r="AW45" s="17"/>
      <c r="AX45" s="4" t="s">
        <v>41</v>
      </c>
      <c r="AY45" s="17"/>
      <c r="AZ45" s="17">
        <v>0</v>
      </c>
      <c r="BA45" s="17"/>
      <c r="BB45" s="17">
        <v>0</v>
      </c>
      <c r="BC45" s="17"/>
      <c r="BD45" s="17">
        <v>0</v>
      </c>
      <c r="BE45" s="17"/>
      <c r="BF45" s="17">
        <v>0</v>
      </c>
      <c r="BG45" s="17"/>
      <c r="BH45" s="17"/>
      <c r="BI45" s="17"/>
      <c r="BJ45" s="1">
        <f t="shared" si="6"/>
        <v>0</v>
      </c>
    </row>
    <row r="46" spans="1:62" s="18" customFormat="1" ht="12" hidden="1">
      <c r="A46" s="4" t="s">
        <v>42</v>
      </c>
      <c r="B46" s="4"/>
      <c r="C46" s="17">
        <f t="shared" si="1"/>
        <v>0</v>
      </c>
      <c r="D46" s="17"/>
      <c r="E46" s="17">
        <v>0</v>
      </c>
      <c r="F46" s="17"/>
      <c r="G46" s="17">
        <v>0</v>
      </c>
      <c r="H46" s="17"/>
      <c r="I46" s="17">
        <f t="shared" si="9"/>
        <v>0</v>
      </c>
      <c r="J46" s="17"/>
      <c r="K46" s="17">
        <f t="shared" si="11"/>
        <v>0</v>
      </c>
      <c r="L46" s="17"/>
      <c r="M46" s="17">
        <v>0</v>
      </c>
      <c r="N46" s="17"/>
      <c r="O46" s="17">
        <v>0</v>
      </c>
      <c r="P46" s="17"/>
      <c r="Q46" s="17">
        <v>0</v>
      </c>
      <c r="R46" s="17"/>
      <c r="S46" s="17">
        <v>0</v>
      </c>
      <c r="T46" s="17"/>
      <c r="U46" s="17">
        <f t="shared" si="2"/>
        <v>0</v>
      </c>
      <c r="V46" s="17">
        <f t="shared" si="10"/>
        <v>0</v>
      </c>
      <c r="W46" s="17"/>
      <c r="X46" s="4" t="s">
        <v>42</v>
      </c>
      <c r="Y46" s="17"/>
      <c r="Z46" s="17">
        <v>0</v>
      </c>
      <c r="AA46" s="17"/>
      <c r="AB46" s="17">
        <v>0</v>
      </c>
      <c r="AC46" s="17"/>
      <c r="AD46" s="17">
        <v>0</v>
      </c>
      <c r="AE46" s="17"/>
      <c r="AF46" s="17">
        <f t="shared" si="3"/>
        <v>0</v>
      </c>
      <c r="AG46" s="17"/>
      <c r="AH46" s="17">
        <v>0</v>
      </c>
      <c r="AI46" s="17"/>
      <c r="AJ46" s="17">
        <v>0</v>
      </c>
      <c r="AK46" s="17"/>
      <c r="AL46" s="17">
        <v>0</v>
      </c>
      <c r="AM46" s="17"/>
      <c r="AN46" s="17">
        <v>0</v>
      </c>
      <c r="AO46" s="17"/>
      <c r="AP46" s="17">
        <f t="shared" si="4"/>
        <v>0</v>
      </c>
      <c r="AQ46" s="17"/>
      <c r="AR46" s="17">
        <v>0</v>
      </c>
      <c r="AS46" s="17"/>
      <c r="AT46" s="17">
        <v>0</v>
      </c>
      <c r="AU46" s="17"/>
      <c r="AV46" s="17">
        <f t="shared" si="5"/>
        <v>0</v>
      </c>
      <c r="AW46" s="17"/>
      <c r="AX46" s="4" t="s">
        <v>42</v>
      </c>
      <c r="AY46" s="17"/>
      <c r="AZ46" s="17">
        <v>0</v>
      </c>
      <c r="BA46" s="17"/>
      <c r="BB46" s="17">
        <v>0</v>
      </c>
      <c r="BC46" s="17"/>
      <c r="BD46" s="17">
        <v>0</v>
      </c>
      <c r="BE46" s="17"/>
      <c r="BF46" s="17">
        <v>0</v>
      </c>
      <c r="BG46" s="17"/>
      <c r="BH46" s="17"/>
      <c r="BI46" s="17"/>
      <c r="BJ46" s="1">
        <f t="shared" si="6"/>
        <v>0</v>
      </c>
    </row>
    <row r="47" spans="1:62" s="18" customFormat="1" ht="12" hidden="1">
      <c r="A47" s="4" t="s">
        <v>43</v>
      </c>
      <c r="B47" s="4"/>
      <c r="C47" s="17">
        <f t="shared" si="1"/>
        <v>0</v>
      </c>
      <c r="D47" s="17"/>
      <c r="E47" s="17">
        <v>0</v>
      </c>
      <c r="F47" s="17"/>
      <c r="G47" s="17">
        <v>0</v>
      </c>
      <c r="H47" s="17"/>
      <c r="I47" s="17">
        <f t="shared" si="9"/>
        <v>0</v>
      </c>
      <c r="J47" s="17"/>
      <c r="K47" s="17">
        <f t="shared" si="11"/>
        <v>0</v>
      </c>
      <c r="L47" s="17"/>
      <c r="M47" s="17">
        <v>0</v>
      </c>
      <c r="N47" s="17"/>
      <c r="O47" s="17">
        <v>0</v>
      </c>
      <c r="P47" s="17"/>
      <c r="Q47" s="17">
        <v>0</v>
      </c>
      <c r="R47" s="17"/>
      <c r="S47" s="17">
        <v>0</v>
      </c>
      <c r="T47" s="17"/>
      <c r="U47" s="17">
        <f t="shared" si="2"/>
        <v>0</v>
      </c>
      <c r="V47" s="17">
        <f t="shared" si="10"/>
        <v>0</v>
      </c>
      <c r="W47" s="17"/>
      <c r="X47" s="4" t="s">
        <v>43</v>
      </c>
      <c r="Y47" s="17"/>
      <c r="Z47" s="17">
        <v>0</v>
      </c>
      <c r="AA47" s="17"/>
      <c r="AB47" s="17">
        <v>0</v>
      </c>
      <c r="AC47" s="17"/>
      <c r="AD47" s="17">
        <v>0</v>
      </c>
      <c r="AE47" s="17"/>
      <c r="AF47" s="17">
        <f t="shared" si="3"/>
        <v>0</v>
      </c>
      <c r="AG47" s="17"/>
      <c r="AH47" s="17">
        <v>0</v>
      </c>
      <c r="AI47" s="17"/>
      <c r="AJ47" s="17">
        <v>0</v>
      </c>
      <c r="AK47" s="17"/>
      <c r="AL47" s="17">
        <v>0</v>
      </c>
      <c r="AM47" s="17"/>
      <c r="AN47" s="17">
        <v>0</v>
      </c>
      <c r="AO47" s="17"/>
      <c r="AP47" s="17">
        <f t="shared" si="4"/>
        <v>0</v>
      </c>
      <c r="AQ47" s="17"/>
      <c r="AR47" s="17">
        <v>0</v>
      </c>
      <c r="AS47" s="17"/>
      <c r="AT47" s="17">
        <v>0</v>
      </c>
      <c r="AU47" s="17"/>
      <c r="AV47" s="17">
        <f t="shared" si="5"/>
        <v>0</v>
      </c>
      <c r="AW47" s="17"/>
      <c r="AX47" s="4" t="s">
        <v>43</v>
      </c>
      <c r="AY47" s="17"/>
      <c r="AZ47" s="17">
        <v>0</v>
      </c>
      <c r="BA47" s="17"/>
      <c r="BB47" s="17">
        <v>0</v>
      </c>
      <c r="BC47" s="17"/>
      <c r="BD47" s="17">
        <v>0</v>
      </c>
      <c r="BE47" s="17"/>
      <c r="BF47" s="17">
        <v>0</v>
      </c>
      <c r="BG47" s="17"/>
      <c r="BH47" s="17"/>
      <c r="BI47" s="17"/>
      <c r="BJ47" s="1">
        <f t="shared" si="6"/>
        <v>0</v>
      </c>
    </row>
    <row r="48" spans="1:63" s="18" customFormat="1" ht="12" hidden="1">
      <c r="A48" s="4" t="s">
        <v>44</v>
      </c>
      <c r="B48" s="4"/>
      <c r="C48" s="17">
        <f t="shared" si="1"/>
        <v>0</v>
      </c>
      <c r="D48" s="17"/>
      <c r="E48" s="17">
        <v>0</v>
      </c>
      <c r="F48" s="17"/>
      <c r="G48" s="17">
        <v>0</v>
      </c>
      <c r="H48" s="17"/>
      <c r="I48" s="17">
        <f t="shared" si="9"/>
        <v>0</v>
      </c>
      <c r="J48" s="17"/>
      <c r="K48" s="17">
        <f t="shared" si="11"/>
        <v>0</v>
      </c>
      <c r="L48" s="17"/>
      <c r="M48" s="17">
        <v>0</v>
      </c>
      <c r="N48" s="17"/>
      <c r="O48" s="17">
        <v>0</v>
      </c>
      <c r="P48" s="17"/>
      <c r="Q48" s="17">
        <v>0</v>
      </c>
      <c r="R48" s="17"/>
      <c r="S48" s="17">
        <v>0</v>
      </c>
      <c r="T48" s="17"/>
      <c r="U48" s="17">
        <f t="shared" si="2"/>
        <v>0</v>
      </c>
      <c r="V48" s="17">
        <f t="shared" si="10"/>
        <v>0</v>
      </c>
      <c r="W48" s="17"/>
      <c r="X48" s="4" t="s">
        <v>44</v>
      </c>
      <c r="Y48" s="17"/>
      <c r="Z48" s="17">
        <v>0</v>
      </c>
      <c r="AA48" s="17"/>
      <c r="AB48" s="17">
        <v>0</v>
      </c>
      <c r="AC48" s="17"/>
      <c r="AD48" s="17">
        <v>0</v>
      </c>
      <c r="AE48" s="17"/>
      <c r="AF48" s="17">
        <f t="shared" si="3"/>
        <v>0</v>
      </c>
      <c r="AG48" s="17"/>
      <c r="AH48" s="17">
        <v>0</v>
      </c>
      <c r="AI48" s="17"/>
      <c r="AJ48" s="17">
        <v>0</v>
      </c>
      <c r="AK48" s="17"/>
      <c r="AL48" s="17">
        <v>0</v>
      </c>
      <c r="AM48" s="17"/>
      <c r="AN48" s="17">
        <v>0</v>
      </c>
      <c r="AO48" s="17"/>
      <c r="AP48" s="17">
        <f t="shared" si="4"/>
        <v>0</v>
      </c>
      <c r="AQ48" s="17"/>
      <c r="AR48" s="17">
        <v>0</v>
      </c>
      <c r="AS48" s="17"/>
      <c r="AT48" s="17">
        <v>0</v>
      </c>
      <c r="AU48" s="17"/>
      <c r="AV48" s="17">
        <f t="shared" si="5"/>
        <v>0</v>
      </c>
      <c r="AW48" s="17"/>
      <c r="AX48" s="4" t="s">
        <v>44</v>
      </c>
      <c r="AY48" s="17"/>
      <c r="AZ48" s="17">
        <v>0</v>
      </c>
      <c r="BA48" s="17"/>
      <c r="BB48" s="17">
        <v>0</v>
      </c>
      <c r="BC48" s="17"/>
      <c r="BD48" s="17">
        <v>0</v>
      </c>
      <c r="BE48" s="17"/>
      <c r="BF48" s="17">
        <v>0</v>
      </c>
      <c r="BG48" s="17"/>
      <c r="BH48" s="17"/>
      <c r="BI48" s="17"/>
      <c r="BJ48" s="1">
        <f t="shared" si="6"/>
        <v>0</v>
      </c>
      <c r="BK48" s="1"/>
    </row>
    <row r="49" spans="1:62" s="18" customFormat="1" ht="12" hidden="1">
      <c r="A49" s="4" t="s">
        <v>255</v>
      </c>
      <c r="B49" s="4"/>
      <c r="C49" s="17">
        <f t="shared" si="1"/>
        <v>0</v>
      </c>
      <c r="D49" s="17"/>
      <c r="E49" s="17"/>
      <c r="F49" s="17"/>
      <c r="G49" s="17"/>
      <c r="H49" s="17"/>
      <c r="I49" s="17">
        <f t="shared" si="9"/>
        <v>0</v>
      </c>
      <c r="J49" s="17"/>
      <c r="K49" s="17">
        <f t="shared" si="11"/>
        <v>0</v>
      </c>
      <c r="L49" s="17"/>
      <c r="M49" s="17"/>
      <c r="N49" s="17"/>
      <c r="O49" s="17"/>
      <c r="P49" s="17"/>
      <c r="Q49" s="17"/>
      <c r="R49" s="17"/>
      <c r="S49" s="17"/>
      <c r="T49" s="17"/>
      <c r="U49" s="17">
        <f t="shared" si="2"/>
        <v>0</v>
      </c>
      <c r="V49" s="17">
        <f t="shared" si="10"/>
        <v>0</v>
      </c>
      <c r="W49" s="17"/>
      <c r="X49" s="4" t="s">
        <v>45</v>
      </c>
      <c r="Y49" s="17"/>
      <c r="Z49" s="17"/>
      <c r="AA49" s="17"/>
      <c r="AB49" s="17"/>
      <c r="AC49" s="17"/>
      <c r="AD49" s="17"/>
      <c r="AE49" s="17"/>
      <c r="AF49" s="17">
        <f t="shared" si="3"/>
        <v>0</v>
      </c>
      <c r="AG49" s="17"/>
      <c r="AH49" s="17"/>
      <c r="AI49" s="17"/>
      <c r="AJ49" s="17"/>
      <c r="AK49" s="17"/>
      <c r="AL49" s="17"/>
      <c r="AM49" s="17"/>
      <c r="AN49" s="17"/>
      <c r="AO49" s="17"/>
      <c r="AP49" s="17">
        <f t="shared" si="4"/>
        <v>0</v>
      </c>
      <c r="AQ49" s="17"/>
      <c r="AR49" s="17">
        <v>0</v>
      </c>
      <c r="AS49" s="17"/>
      <c r="AT49" s="17">
        <v>0</v>
      </c>
      <c r="AU49" s="17"/>
      <c r="AV49" s="17">
        <f t="shared" si="5"/>
        <v>0</v>
      </c>
      <c r="AW49" s="17"/>
      <c r="AX49" s="4" t="s">
        <v>45</v>
      </c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">
        <f t="shared" si="6"/>
        <v>0</v>
      </c>
    </row>
    <row r="50" spans="1:63" s="18" customFormat="1" ht="12">
      <c r="A50" s="4" t="s">
        <v>46</v>
      </c>
      <c r="B50" s="4"/>
      <c r="C50" s="17">
        <f t="shared" si="1"/>
        <v>2688464</v>
      </c>
      <c r="D50" s="17"/>
      <c r="E50" s="17">
        <v>26861412</v>
      </c>
      <c r="F50" s="17"/>
      <c r="G50" s="17">
        <v>29549876</v>
      </c>
      <c r="H50" s="17"/>
      <c r="I50" s="17">
        <f t="shared" si="9"/>
        <v>1042925</v>
      </c>
      <c r="J50" s="17"/>
      <c r="K50" s="17">
        <f t="shared" si="11"/>
        <v>10796014</v>
      </c>
      <c r="L50" s="17"/>
      <c r="M50" s="17">
        <v>11838939</v>
      </c>
      <c r="N50" s="17"/>
      <c r="O50" s="17">
        <v>15532552</v>
      </c>
      <c r="P50" s="17"/>
      <c r="Q50" s="17">
        <v>0</v>
      </c>
      <c r="R50" s="17"/>
      <c r="S50" s="17">
        <v>2178385</v>
      </c>
      <c r="T50" s="17"/>
      <c r="U50" s="17">
        <f t="shared" si="2"/>
        <v>17710937</v>
      </c>
      <c r="V50" s="17">
        <f t="shared" si="10"/>
        <v>0</v>
      </c>
      <c r="W50" s="17"/>
      <c r="X50" s="4" t="s">
        <v>46</v>
      </c>
      <c r="Y50" s="17"/>
      <c r="Z50" s="17">
        <v>4746314</v>
      </c>
      <c r="AA50" s="17"/>
      <c r="AB50" s="17">
        <f>3599732-1144507</f>
        <v>2455225</v>
      </c>
      <c r="AC50" s="17"/>
      <c r="AD50" s="17">
        <v>1144507</v>
      </c>
      <c r="AE50" s="17"/>
      <c r="AF50" s="17">
        <f t="shared" si="3"/>
        <v>1146582</v>
      </c>
      <c r="AG50" s="17"/>
      <c r="AH50" s="17">
        <v>-312723</v>
      </c>
      <c r="AI50" s="17"/>
      <c r="AJ50" s="17">
        <v>0</v>
      </c>
      <c r="AK50" s="17"/>
      <c r="AL50" s="17">
        <v>0</v>
      </c>
      <c r="AM50" s="17"/>
      <c r="AN50" s="17">
        <v>457678</v>
      </c>
      <c r="AO50" s="17"/>
      <c r="AP50" s="17">
        <f t="shared" si="4"/>
        <v>1291537</v>
      </c>
      <c r="AQ50" s="17"/>
      <c r="AR50" s="17">
        <v>0</v>
      </c>
      <c r="AS50" s="17"/>
      <c r="AT50" s="17">
        <v>0</v>
      </c>
      <c r="AU50" s="17"/>
      <c r="AV50" s="17">
        <f t="shared" si="5"/>
        <v>1645539</v>
      </c>
      <c r="AW50" s="17"/>
      <c r="AX50" s="4" t="s">
        <v>46</v>
      </c>
      <c r="AY50" s="17"/>
      <c r="AZ50" s="17">
        <v>1771729</v>
      </c>
      <c r="BA50" s="17"/>
      <c r="BB50" s="17">
        <v>0</v>
      </c>
      <c r="BC50" s="17"/>
      <c r="BD50" s="17">
        <f>519288+1914095+6557210</f>
        <v>8990593</v>
      </c>
      <c r="BE50" s="17"/>
      <c r="BF50" s="17">
        <f>33692+0</f>
        <v>33692</v>
      </c>
      <c r="BG50" s="17"/>
      <c r="BH50" s="17"/>
      <c r="BI50" s="17"/>
      <c r="BJ50" s="1">
        <f t="shared" si="6"/>
        <v>10796014</v>
      </c>
      <c r="BK50" s="1"/>
    </row>
    <row r="51" spans="1:63" s="18" customFormat="1" ht="12" hidden="1">
      <c r="A51" s="4" t="s">
        <v>47</v>
      </c>
      <c r="B51" s="4"/>
      <c r="C51" s="17">
        <f t="shared" si="1"/>
        <v>0</v>
      </c>
      <c r="D51" s="17"/>
      <c r="E51" s="17">
        <v>0</v>
      </c>
      <c r="F51" s="17"/>
      <c r="G51" s="17">
        <v>0</v>
      </c>
      <c r="H51" s="17"/>
      <c r="I51" s="17">
        <f t="shared" si="9"/>
        <v>0</v>
      </c>
      <c r="J51" s="17"/>
      <c r="K51" s="17">
        <f t="shared" si="11"/>
        <v>0</v>
      </c>
      <c r="L51" s="17"/>
      <c r="M51" s="17">
        <v>0</v>
      </c>
      <c r="N51" s="17"/>
      <c r="O51" s="17">
        <v>0</v>
      </c>
      <c r="P51" s="17"/>
      <c r="Q51" s="17">
        <v>0</v>
      </c>
      <c r="R51" s="17"/>
      <c r="S51" s="17">
        <v>0</v>
      </c>
      <c r="T51" s="17"/>
      <c r="U51" s="17">
        <f t="shared" si="2"/>
        <v>0</v>
      </c>
      <c r="V51" s="17">
        <f t="shared" si="10"/>
        <v>0</v>
      </c>
      <c r="W51" s="17"/>
      <c r="X51" s="4" t="s">
        <v>47</v>
      </c>
      <c r="Y51" s="17"/>
      <c r="Z51" s="17">
        <v>0</v>
      </c>
      <c r="AA51" s="17"/>
      <c r="AB51" s="17">
        <v>0</v>
      </c>
      <c r="AC51" s="17"/>
      <c r="AD51" s="17">
        <v>0</v>
      </c>
      <c r="AE51" s="17"/>
      <c r="AF51" s="17">
        <f t="shared" si="3"/>
        <v>0</v>
      </c>
      <c r="AG51" s="17"/>
      <c r="AH51" s="17">
        <v>0</v>
      </c>
      <c r="AI51" s="17"/>
      <c r="AJ51" s="17">
        <v>0</v>
      </c>
      <c r="AK51" s="17"/>
      <c r="AL51" s="17">
        <v>0</v>
      </c>
      <c r="AM51" s="17"/>
      <c r="AN51" s="17">
        <v>0</v>
      </c>
      <c r="AO51" s="17"/>
      <c r="AP51" s="17">
        <f t="shared" si="4"/>
        <v>0</v>
      </c>
      <c r="AQ51" s="17"/>
      <c r="AR51" s="17">
        <v>0</v>
      </c>
      <c r="AS51" s="17"/>
      <c r="AT51" s="17">
        <v>0</v>
      </c>
      <c r="AU51" s="17"/>
      <c r="AV51" s="17">
        <f t="shared" si="5"/>
        <v>0</v>
      </c>
      <c r="AW51" s="17"/>
      <c r="AX51" s="4" t="s">
        <v>47</v>
      </c>
      <c r="AY51" s="17"/>
      <c r="AZ51" s="17">
        <v>0</v>
      </c>
      <c r="BA51" s="17"/>
      <c r="BB51" s="17">
        <v>0</v>
      </c>
      <c r="BC51" s="17"/>
      <c r="BD51" s="17">
        <v>0</v>
      </c>
      <c r="BE51" s="17"/>
      <c r="BF51" s="17">
        <v>0</v>
      </c>
      <c r="BG51" s="17"/>
      <c r="BH51" s="17"/>
      <c r="BI51" s="17"/>
      <c r="BJ51" s="1">
        <f t="shared" si="6"/>
        <v>0</v>
      </c>
      <c r="BK51" s="1"/>
    </row>
    <row r="52" spans="1:62" s="18" customFormat="1" ht="12">
      <c r="A52" s="4" t="s">
        <v>48</v>
      </c>
      <c r="B52" s="4"/>
      <c r="C52" s="17">
        <f t="shared" si="1"/>
        <v>15347006</v>
      </c>
      <c r="D52" s="17"/>
      <c r="E52" s="17">
        <v>57564568</v>
      </c>
      <c r="F52" s="17"/>
      <c r="G52" s="17">
        <v>72911574</v>
      </c>
      <c r="H52" s="17"/>
      <c r="I52" s="17">
        <f t="shared" si="9"/>
        <v>5065436</v>
      </c>
      <c r="J52" s="17"/>
      <c r="K52" s="17">
        <f t="shared" si="11"/>
        <v>20274499</v>
      </c>
      <c r="L52" s="17"/>
      <c r="M52" s="17">
        <v>25339935</v>
      </c>
      <c r="N52" s="17"/>
      <c r="O52" s="17">
        <v>38271253</v>
      </c>
      <c r="P52" s="17"/>
      <c r="Q52" s="17">
        <v>0</v>
      </c>
      <c r="R52" s="17"/>
      <c r="S52" s="17">
        <v>9300386</v>
      </c>
      <c r="T52" s="17"/>
      <c r="U52" s="17">
        <f t="shared" si="2"/>
        <v>47571639</v>
      </c>
      <c r="V52" s="17">
        <f t="shared" si="10"/>
        <v>0</v>
      </c>
      <c r="W52" s="17"/>
      <c r="X52" s="4" t="s">
        <v>48</v>
      </c>
      <c r="Y52" s="17"/>
      <c r="Z52" s="17">
        <v>18054625</v>
      </c>
      <c r="AA52" s="17"/>
      <c r="AB52" s="17">
        <f>12166839-3399754</f>
        <v>8767085</v>
      </c>
      <c r="AC52" s="17"/>
      <c r="AD52" s="17">
        <v>3399754</v>
      </c>
      <c r="AE52" s="17"/>
      <c r="AF52" s="17">
        <f t="shared" si="3"/>
        <v>5887786</v>
      </c>
      <c r="AG52" s="17"/>
      <c r="AH52" s="17">
        <v>-1673657</v>
      </c>
      <c r="AI52" s="17"/>
      <c r="AJ52" s="17">
        <v>0</v>
      </c>
      <c r="AK52" s="17"/>
      <c r="AL52" s="17">
        <v>50000</v>
      </c>
      <c r="AM52" s="17"/>
      <c r="AN52" s="17">
        <f>942532+17780</f>
        <v>960312</v>
      </c>
      <c r="AO52" s="17"/>
      <c r="AP52" s="17">
        <f t="shared" si="4"/>
        <v>5124441</v>
      </c>
      <c r="AQ52" s="17"/>
      <c r="AR52" s="17">
        <v>0</v>
      </c>
      <c r="AS52" s="17"/>
      <c r="AT52" s="17">
        <v>0</v>
      </c>
      <c r="AU52" s="17"/>
      <c r="AV52" s="17">
        <f t="shared" si="5"/>
        <v>10281570</v>
      </c>
      <c r="AW52" s="17"/>
      <c r="AX52" s="4" t="s">
        <v>48</v>
      </c>
      <c r="AY52" s="17"/>
      <c r="AZ52" s="17">
        <f>1945000+615000</f>
        <v>2560000</v>
      </c>
      <c r="BA52" s="17"/>
      <c r="BB52" s="17">
        <v>0</v>
      </c>
      <c r="BC52" s="17"/>
      <c r="BD52" s="17">
        <f>9969055+6791522</f>
        <v>16760577</v>
      </c>
      <c r="BE52" s="17"/>
      <c r="BF52" s="17">
        <f>825621+55605+49269+23427</f>
        <v>953922</v>
      </c>
      <c r="BG52" s="17"/>
      <c r="BH52" s="17"/>
      <c r="BI52" s="17"/>
      <c r="BJ52" s="1">
        <f t="shared" si="6"/>
        <v>20274499</v>
      </c>
    </row>
    <row r="53" spans="1:62" s="18" customFormat="1" ht="12" hidden="1">
      <c r="A53" s="4" t="s">
        <v>170</v>
      </c>
      <c r="B53" s="4"/>
      <c r="C53" s="17">
        <f t="shared" si="1"/>
        <v>0</v>
      </c>
      <c r="D53" s="17"/>
      <c r="E53" s="17">
        <v>0</v>
      </c>
      <c r="F53" s="17"/>
      <c r="G53" s="17">
        <v>0</v>
      </c>
      <c r="H53" s="17"/>
      <c r="I53" s="17">
        <f t="shared" si="9"/>
        <v>0</v>
      </c>
      <c r="J53" s="17"/>
      <c r="K53" s="17">
        <f t="shared" si="11"/>
        <v>0</v>
      </c>
      <c r="L53" s="17"/>
      <c r="M53" s="17">
        <v>0</v>
      </c>
      <c r="N53" s="17"/>
      <c r="O53" s="17">
        <v>0</v>
      </c>
      <c r="P53" s="17"/>
      <c r="Q53" s="17">
        <v>0</v>
      </c>
      <c r="R53" s="17"/>
      <c r="S53" s="17">
        <v>0</v>
      </c>
      <c r="T53" s="17"/>
      <c r="U53" s="17">
        <f t="shared" si="2"/>
        <v>0</v>
      </c>
      <c r="V53" s="17">
        <f t="shared" si="10"/>
        <v>0</v>
      </c>
      <c r="W53" s="17"/>
      <c r="X53" s="4" t="s">
        <v>229</v>
      </c>
      <c r="Y53" s="17"/>
      <c r="Z53" s="17">
        <v>0</v>
      </c>
      <c r="AA53" s="17"/>
      <c r="AB53" s="17">
        <v>0</v>
      </c>
      <c r="AC53" s="17"/>
      <c r="AD53" s="17">
        <v>0</v>
      </c>
      <c r="AE53" s="17"/>
      <c r="AF53" s="17">
        <f t="shared" si="3"/>
        <v>0</v>
      </c>
      <c r="AG53" s="17"/>
      <c r="AH53" s="17">
        <v>0</v>
      </c>
      <c r="AI53" s="17"/>
      <c r="AJ53" s="17">
        <v>0</v>
      </c>
      <c r="AK53" s="17"/>
      <c r="AL53" s="17">
        <v>0</v>
      </c>
      <c r="AM53" s="17"/>
      <c r="AN53" s="17">
        <v>0</v>
      </c>
      <c r="AO53" s="17"/>
      <c r="AP53" s="17">
        <f t="shared" si="4"/>
        <v>0</v>
      </c>
      <c r="AQ53" s="17"/>
      <c r="AR53" s="17">
        <v>0</v>
      </c>
      <c r="AS53" s="17"/>
      <c r="AT53" s="17">
        <v>0</v>
      </c>
      <c r="AU53" s="17"/>
      <c r="AV53" s="17">
        <f t="shared" si="5"/>
        <v>0</v>
      </c>
      <c r="AW53" s="17"/>
      <c r="AX53" s="4" t="s">
        <v>229</v>
      </c>
      <c r="AY53" s="17"/>
      <c r="AZ53" s="17">
        <v>0</v>
      </c>
      <c r="BA53" s="17"/>
      <c r="BB53" s="17">
        <v>0</v>
      </c>
      <c r="BC53" s="17"/>
      <c r="BD53" s="17">
        <v>0</v>
      </c>
      <c r="BE53" s="17"/>
      <c r="BF53" s="17">
        <v>0</v>
      </c>
      <c r="BG53" s="17"/>
      <c r="BH53" s="17"/>
      <c r="BI53" s="17"/>
      <c r="BJ53" s="1">
        <f t="shared" si="6"/>
        <v>0</v>
      </c>
    </row>
    <row r="54" spans="1:62" s="18" customFormat="1" ht="12">
      <c r="A54" s="4" t="s">
        <v>49</v>
      </c>
      <c r="B54" s="4"/>
      <c r="C54" s="17">
        <f t="shared" si="1"/>
        <v>415104</v>
      </c>
      <c r="D54" s="17"/>
      <c r="E54" s="17">
        <v>874009</v>
      </c>
      <c r="F54" s="17"/>
      <c r="G54" s="17">
        <v>1289113</v>
      </c>
      <c r="H54" s="17"/>
      <c r="I54" s="17">
        <f t="shared" si="9"/>
        <v>76311</v>
      </c>
      <c r="J54" s="17"/>
      <c r="K54" s="17">
        <f t="shared" si="11"/>
        <v>325000</v>
      </c>
      <c r="L54" s="17"/>
      <c r="M54" s="17">
        <v>401311</v>
      </c>
      <c r="N54" s="17"/>
      <c r="O54" s="17">
        <v>504009</v>
      </c>
      <c r="P54" s="17"/>
      <c r="Q54" s="17">
        <v>0</v>
      </c>
      <c r="R54" s="17"/>
      <c r="S54" s="17">
        <v>383793</v>
      </c>
      <c r="T54" s="17"/>
      <c r="U54" s="17">
        <f t="shared" si="2"/>
        <v>887802</v>
      </c>
      <c r="V54" s="17">
        <f t="shared" si="10"/>
        <v>0</v>
      </c>
      <c r="W54" s="17"/>
      <c r="X54" s="4" t="s">
        <v>49</v>
      </c>
      <c r="Y54" s="17"/>
      <c r="Z54" s="17">
        <v>279806</v>
      </c>
      <c r="AA54" s="17"/>
      <c r="AB54" s="17">
        <f>228372-54267</f>
        <v>174105</v>
      </c>
      <c r="AC54" s="17"/>
      <c r="AD54" s="17">
        <v>54267</v>
      </c>
      <c r="AE54" s="17"/>
      <c r="AF54" s="17">
        <f t="shared" si="3"/>
        <v>51434</v>
      </c>
      <c r="AG54" s="17"/>
      <c r="AH54" s="17">
        <v>-16796</v>
      </c>
      <c r="AI54" s="17"/>
      <c r="AJ54" s="17">
        <v>51131</v>
      </c>
      <c r="AK54" s="17"/>
      <c r="AL54" s="17">
        <v>0</v>
      </c>
      <c r="AM54" s="17"/>
      <c r="AN54" s="17">
        <v>0</v>
      </c>
      <c r="AO54" s="17"/>
      <c r="AP54" s="17">
        <f t="shared" si="4"/>
        <v>85769</v>
      </c>
      <c r="AQ54" s="17"/>
      <c r="AR54" s="17">
        <v>0</v>
      </c>
      <c r="AS54" s="17"/>
      <c r="AT54" s="17">
        <v>0</v>
      </c>
      <c r="AU54" s="17"/>
      <c r="AV54" s="17">
        <f t="shared" si="5"/>
        <v>338793</v>
      </c>
      <c r="AW54" s="17"/>
      <c r="AX54" s="4" t="s">
        <v>49</v>
      </c>
      <c r="AY54" s="17"/>
      <c r="AZ54" s="17">
        <v>325000</v>
      </c>
      <c r="BA54" s="17"/>
      <c r="BB54" s="17">
        <v>0</v>
      </c>
      <c r="BC54" s="17"/>
      <c r="BD54" s="17">
        <v>0</v>
      </c>
      <c r="BE54" s="17"/>
      <c r="BF54" s="17">
        <v>0</v>
      </c>
      <c r="BG54" s="17"/>
      <c r="BH54" s="17"/>
      <c r="BI54" s="17"/>
      <c r="BJ54" s="1">
        <f t="shared" si="6"/>
        <v>325000</v>
      </c>
    </row>
    <row r="55" spans="1:62" s="18" customFormat="1" ht="12">
      <c r="A55" s="4" t="s">
        <v>50</v>
      </c>
      <c r="B55" s="4"/>
      <c r="C55" s="17">
        <f t="shared" si="1"/>
        <v>2840442</v>
      </c>
      <c r="D55" s="17"/>
      <c r="E55" s="17">
        <f>201000+18271639</f>
        <v>18472639</v>
      </c>
      <c r="F55" s="17"/>
      <c r="G55" s="17">
        <v>21313081</v>
      </c>
      <c r="H55" s="17"/>
      <c r="I55" s="17">
        <f t="shared" si="9"/>
        <v>5920010</v>
      </c>
      <c r="J55" s="17"/>
      <c r="K55" s="17">
        <f t="shared" si="11"/>
        <v>1592118</v>
      </c>
      <c r="L55" s="17"/>
      <c r="M55" s="17">
        <v>7512128</v>
      </c>
      <c r="N55" s="17"/>
      <c r="O55" s="17">
        <v>11267356</v>
      </c>
      <c r="P55" s="17"/>
      <c r="Q55" s="17">
        <v>0</v>
      </c>
      <c r="R55" s="17"/>
      <c r="S55" s="17">
        <v>2533597</v>
      </c>
      <c r="T55" s="17"/>
      <c r="U55" s="17">
        <f t="shared" si="2"/>
        <v>13800953</v>
      </c>
      <c r="V55" s="17">
        <f t="shared" si="10"/>
        <v>0</v>
      </c>
      <c r="W55" s="17"/>
      <c r="X55" s="4" t="s">
        <v>50</v>
      </c>
      <c r="Y55" s="17"/>
      <c r="Z55" s="17">
        <v>3427615</v>
      </c>
      <c r="AA55" s="17"/>
      <c r="AB55" s="17">
        <f>1732818-326607</f>
        <v>1406211</v>
      </c>
      <c r="AC55" s="17"/>
      <c r="AD55" s="17">
        <v>326607</v>
      </c>
      <c r="AE55" s="17"/>
      <c r="AF55" s="17">
        <f t="shared" si="3"/>
        <v>1694797</v>
      </c>
      <c r="AG55" s="17"/>
      <c r="AH55" s="17">
        <v>-47664</v>
      </c>
      <c r="AI55" s="17"/>
      <c r="AJ55" s="17">
        <v>53555</v>
      </c>
      <c r="AK55" s="17"/>
      <c r="AL55" s="17">
        <v>39000</v>
      </c>
      <c r="AM55" s="17"/>
      <c r="AN55" s="17">
        <v>0</v>
      </c>
      <c r="AO55" s="17"/>
      <c r="AP55" s="17">
        <f t="shared" si="4"/>
        <v>1661688</v>
      </c>
      <c r="AQ55" s="17"/>
      <c r="AR55" s="17">
        <v>0</v>
      </c>
      <c r="AS55" s="17"/>
      <c r="AT55" s="17">
        <v>0</v>
      </c>
      <c r="AU55" s="17"/>
      <c r="AV55" s="17">
        <f t="shared" si="5"/>
        <v>-3079568</v>
      </c>
      <c r="AW55" s="17"/>
      <c r="AX55" s="4" t="s">
        <v>50</v>
      </c>
      <c r="AY55" s="17"/>
      <c r="AZ55" s="17">
        <v>0</v>
      </c>
      <c r="BA55" s="17"/>
      <c r="BB55" s="17">
        <v>780000</v>
      </c>
      <c r="BC55" s="17"/>
      <c r="BD55" s="17">
        <v>802232</v>
      </c>
      <c r="BE55" s="17"/>
      <c r="BF55" s="17">
        <v>9886</v>
      </c>
      <c r="BG55" s="17"/>
      <c r="BH55" s="17"/>
      <c r="BI55" s="17"/>
      <c r="BJ55" s="1">
        <f t="shared" si="6"/>
        <v>1592118</v>
      </c>
    </row>
    <row r="56" spans="1:62" s="18" customFormat="1" ht="12" hidden="1">
      <c r="A56" s="4" t="s">
        <v>260</v>
      </c>
      <c r="B56" s="4"/>
      <c r="C56" s="17">
        <f t="shared" si="1"/>
        <v>0</v>
      </c>
      <c r="D56" s="17"/>
      <c r="E56" s="17">
        <v>0</v>
      </c>
      <c r="F56" s="17"/>
      <c r="G56" s="17">
        <v>0</v>
      </c>
      <c r="H56" s="17"/>
      <c r="I56" s="17">
        <f t="shared" si="9"/>
        <v>0</v>
      </c>
      <c r="J56" s="17"/>
      <c r="K56" s="17">
        <f t="shared" si="11"/>
        <v>0</v>
      </c>
      <c r="L56" s="17"/>
      <c r="M56" s="17">
        <v>0</v>
      </c>
      <c r="N56" s="17"/>
      <c r="O56" s="17">
        <v>0</v>
      </c>
      <c r="P56" s="17"/>
      <c r="Q56" s="17">
        <v>0</v>
      </c>
      <c r="R56" s="17"/>
      <c r="S56" s="17">
        <v>0</v>
      </c>
      <c r="T56" s="17"/>
      <c r="U56" s="17">
        <f t="shared" si="2"/>
        <v>0</v>
      </c>
      <c r="V56" s="17">
        <f t="shared" si="10"/>
        <v>0</v>
      </c>
      <c r="W56" s="17"/>
      <c r="X56" s="4" t="s">
        <v>51</v>
      </c>
      <c r="Y56" s="17"/>
      <c r="Z56" s="17">
        <v>0</v>
      </c>
      <c r="AA56" s="17"/>
      <c r="AB56" s="17">
        <v>0</v>
      </c>
      <c r="AC56" s="17"/>
      <c r="AD56" s="17">
        <v>0</v>
      </c>
      <c r="AE56" s="17"/>
      <c r="AF56" s="17">
        <f t="shared" si="3"/>
        <v>0</v>
      </c>
      <c r="AG56" s="17"/>
      <c r="AH56" s="17">
        <v>0</v>
      </c>
      <c r="AI56" s="17"/>
      <c r="AJ56" s="17">
        <v>0</v>
      </c>
      <c r="AK56" s="17"/>
      <c r="AL56" s="17">
        <v>0</v>
      </c>
      <c r="AM56" s="17"/>
      <c r="AN56" s="17">
        <v>0</v>
      </c>
      <c r="AO56" s="17"/>
      <c r="AP56" s="17">
        <f t="shared" si="4"/>
        <v>0</v>
      </c>
      <c r="AQ56" s="17"/>
      <c r="AR56" s="17">
        <v>0</v>
      </c>
      <c r="AS56" s="17"/>
      <c r="AT56" s="17">
        <v>0</v>
      </c>
      <c r="AU56" s="17"/>
      <c r="AV56" s="17">
        <f t="shared" si="5"/>
        <v>0</v>
      </c>
      <c r="AW56" s="17"/>
      <c r="AX56" s="4" t="s">
        <v>51</v>
      </c>
      <c r="AY56" s="17"/>
      <c r="AZ56" s="17">
        <v>0</v>
      </c>
      <c r="BA56" s="17"/>
      <c r="BB56" s="17">
        <v>0</v>
      </c>
      <c r="BC56" s="17"/>
      <c r="BD56" s="17">
        <v>0</v>
      </c>
      <c r="BE56" s="17"/>
      <c r="BF56" s="17">
        <v>0</v>
      </c>
      <c r="BG56" s="17"/>
      <c r="BH56" s="17"/>
      <c r="BI56" s="17"/>
      <c r="BJ56" s="1">
        <f t="shared" si="6"/>
        <v>0</v>
      </c>
    </row>
    <row r="57" spans="1:62" s="18" customFormat="1" ht="12">
      <c r="A57" s="4" t="s">
        <v>186</v>
      </c>
      <c r="B57" s="4"/>
      <c r="C57" s="17">
        <f t="shared" si="1"/>
        <v>2447000</v>
      </c>
      <c r="D57" s="17"/>
      <c r="E57" s="17">
        <v>43894000</v>
      </c>
      <c r="F57" s="17"/>
      <c r="G57" s="17">
        <v>46341000</v>
      </c>
      <c r="H57" s="17"/>
      <c r="I57" s="17">
        <f>+M57-K57</f>
        <v>207000</v>
      </c>
      <c r="J57" s="17"/>
      <c r="K57" s="17">
        <f t="shared" si="11"/>
        <v>3916000</v>
      </c>
      <c r="L57" s="17"/>
      <c r="M57" s="17">
        <v>4123000</v>
      </c>
      <c r="N57" s="17"/>
      <c r="O57" s="17">
        <v>39801000</v>
      </c>
      <c r="P57" s="17"/>
      <c r="Q57" s="17">
        <v>0</v>
      </c>
      <c r="R57" s="17"/>
      <c r="S57" s="17">
        <v>2417000</v>
      </c>
      <c r="T57" s="17"/>
      <c r="U57" s="17">
        <f t="shared" si="2"/>
        <v>42218000</v>
      </c>
      <c r="V57" s="17">
        <f t="shared" si="10"/>
        <v>0</v>
      </c>
      <c r="W57" s="17"/>
      <c r="X57" s="4" t="s">
        <v>186</v>
      </c>
      <c r="Y57" s="17"/>
      <c r="Z57" s="17">
        <v>1481000</v>
      </c>
      <c r="AA57" s="17"/>
      <c r="AB57" s="17">
        <f>2445000-1716000</f>
        <v>729000</v>
      </c>
      <c r="AC57" s="17"/>
      <c r="AD57" s="17">
        <v>1716000</v>
      </c>
      <c r="AE57" s="17"/>
      <c r="AF57" s="17">
        <f t="shared" si="3"/>
        <v>-964000</v>
      </c>
      <c r="AG57" s="17"/>
      <c r="AH57" s="17">
        <v>-258000</v>
      </c>
      <c r="AI57" s="17"/>
      <c r="AJ57" s="17">
        <v>0</v>
      </c>
      <c r="AK57" s="17"/>
      <c r="AL57" s="17">
        <v>0</v>
      </c>
      <c r="AM57" s="17"/>
      <c r="AN57" s="17">
        <v>1952000</v>
      </c>
      <c r="AO57" s="17"/>
      <c r="AP57" s="17">
        <f t="shared" si="4"/>
        <v>730000</v>
      </c>
      <c r="AQ57" s="17"/>
      <c r="AR57" s="17">
        <v>0</v>
      </c>
      <c r="AS57" s="17"/>
      <c r="AT57" s="17">
        <v>0</v>
      </c>
      <c r="AU57" s="17"/>
      <c r="AV57" s="17">
        <f t="shared" si="5"/>
        <v>2240000</v>
      </c>
      <c r="AW57" s="17"/>
      <c r="AX57" s="4" t="s">
        <v>186</v>
      </c>
      <c r="AY57" s="17"/>
      <c r="AZ57" s="17">
        <v>0</v>
      </c>
      <c r="BA57" s="17"/>
      <c r="BB57" s="17">
        <v>0</v>
      </c>
      <c r="BC57" s="17"/>
      <c r="BD57" s="17">
        <v>3916000</v>
      </c>
      <c r="BE57" s="17"/>
      <c r="BF57" s="17">
        <v>0</v>
      </c>
      <c r="BG57" s="17"/>
      <c r="BH57" s="17"/>
      <c r="BI57" s="17"/>
      <c r="BJ57" s="1">
        <f t="shared" si="6"/>
        <v>3916000</v>
      </c>
    </row>
    <row r="58" spans="1:62" s="18" customFormat="1" ht="12" hidden="1">
      <c r="A58" s="4" t="s">
        <v>52</v>
      </c>
      <c r="B58" s="4"/>
      <c r="C58" s="17">
        <f t="shared" si="1"/>
        <v>0</v>
      </c>
      <c r="D58" s="17"/>
      <c r="E58" s="17"/>
      <c r="F58" s="17"/>
      <c r="G58" s="17"/>
      <c r="H58" s="17"/>
      <c r="I58" s="17">
        <f t="shared" si="9"/>
        <v>0</v>
      </c>
      <c r="J58" s="17"/>
      <c r="K58" s="17">
        <f t="shared" si="11"/>
        <v>0</v>
      </c>
      <c r="L58" s="17"/>
      <c r="M58" s="17"/>
      <c r="N58" s="17"/>
      <c r="O58" s="17"/>
      <c r="P58" s="17"/>
      <c r="Q58" s="17"/>
      <c r="R58" s="17"/>
      <c r="S58" s="17"/>
      <c r="T58" s="17"/>
      <c r="U58" s="17">
        <f t="shared" si="2"/>
        <v>0</v>
      </c>
      <c r="V58" s="17">
        <f t="shared" si="10"/>
        <v>0</v>
      </c>
      <c r="W58" s="17"/>
      <c r="X58" s="4" t="s">
        <v>52</v>
      </c>
      <c r="Y58" s="17"/>
      <c r="Z58" s="17"/>
      <c r="AA58" s="17"/>
      <c r="AB58" s="17"/>
      <c r="AC58" s="17"/>
      <c r="AD58" s="17"/>
      <c r="AE58" s="17"/>
      <c r="AF58" s="17">
        <f t="shared" si="3"/>
        <v>0</v>
      </c>
      <c r="AG58" s="17"/>
      <c r="AH58" s="17"/>
      <c r="AI58" s="17"/>
      <c r="AJ58" s="17"/>
      <c r="AK58" s="17"/>
      <c r="AL58" s="17"/>
      <c r="AM58" s="17"/>
      <c r="AN58" s="17"/>
      <c r="AO58" s="17"/>
      <c r="AP58" s="17">
        <f t="shared" si="4"/>
        <v>0</v>
      </c>
      <c r="AQ58" s="17"/>
      <c r="AR58" s="17">
        <v>0</v>
      </c>
      <c r="AS58" s="17"/>
      <c r="AT58" s="17">
        <v>0</v>
      </c>
      <c r="AU58" s="17"/>
      <c r="AV58" s="17">
        <f t="shared" si="5"/>
        <v>0</v>
      </c>
      <c r="AW58" s="17"/>
      <c r="AX58" s="4" t="s">
        <v>52</v>
      </c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">
        <f t="shared" si="6"/>
        <v>0</v>
      </c>
    </row>
    <row r="59" spans="1:62" s="18" customFormat="1" ht="12">
      <c r="A59" s="4" t="s">
        <v>53</v>
      </c>
      <c r="B59" s="4"/>
      <c r="C59" s="17">
        <f t="shared" si="1"/>
        <v>79873</v>
      </c>
      <c r="D59" s="17"/>
      <c r="E59" s="17">
        <v>12362211</v>
      </c>
      <c r="F59" s="17"/>
      <c r="G59" s="17">
        <v>12442084</v>
      </c>
      <c r="H59" s="17"/>
      <c r="I59" s="17">
        <f t="shared" si="9"/>
        <v>4084641</v>
      </c>
      <c r="J59" s="17"/>
      <c r="K59" s="17">
        <f t="shared" si="11"/>
        <v>139534</v>
      </c>
      <c r="L59" s="17"/>
      <c r="M59" s="17">
        <v>4224175</v>
      </c>
      <c r="N59" s="17"/>
      <c r="O59" s="17">
        <v>9089980</v>
      </c>
      <c r="P59" s="17"/>
      <c r="Q59" s="17">
        <v>0</v>
      </c>
      <c r="R59" s="17"/>
      <c r="S59" s="17">
        <v>-872071</v>
      </c>
      <c r="T59" s="17"/>
      <c r="U59" s="17">
        <f t="shared" si="2"/>
        <v>8217909</v>
      </c>
      <c r="V59" s="17">
        <f t="shared" si="10"/>
        <v>0</v>
      </c>
      <c r="W59" s="17"/>
      <c r="X59" s="4" t="s">
        <v>53</v>
      </c>
      <c r="Y59" s="17"/>
      <c r="Z59" s="17">
        <v>875113</v>
      </c>
      <c r="AA59" s="17"/>
      <c r="AB59" s="17">
        <f>1024747-108845</f>
        <v>915902</v>
      </c>
      <c r="AC59" s="17"/>
      <c r="AD59" s="17">
        <v>108845</v>
      </c>
      <c r="AE59" s="17"/>
      <c r="AF59" s="17">
        <f t="shared" si="3"/>
        <v>-149634</v>
      </c>
      <c r="AG59" s="17"/>
      <c r="AH59" s="17">
        <v>-202061</v>
      </c>
      <c r="AI59" s="17"/>
      <c r="AJ59" s="17">
        <v>41424</v>
      </c>
      <c r="AK59" s="17"/>
      <c r="AL59" s="17">
        <v>4067</v>
      </c>
      <c r="AM59" s="17"/>
      <c r="AN59" s="17">
        <v>2164654</v>
      </c>
      <c r="AO59" s="17"/>
      <c r="AP59" s="17">
        <f t="shared" si="4"/>
        <v>1850316</v>
      </c>
      <c r="AQ59" s="17"/>
      <c r="AR59" s="17">
        <v>0</v>
      </c>
      <c r="AS59" s="17"/>
      <c r="AT59" s="17">
        <v>0</v>
      </c>
      <c r="AU59" s="17"/>
      <c r="AV59" s="17">
        <f t="shared" si="5"/>
        <v>-4004768</v>
      </c>
      <c r="AW59" s="17"/>
      <c r="AX59" s="4" t="s">
        <v>53</v>
      </c>
      <c r="AY59" s="17"/>
      <c r="AZ59" s="17">
        <v>3046</v>
      </c>
      <c r="BA59" s="17"/>
      <c r="BB59" s="17">
        <v>111953</v>
      </c>
      <c r="BC59" s="17"/>
      <c r="BD59" s="17">
        <v>0</v>
      </c>
      <c r="BE59" s="17"/>
      <c r="BF59" s="17">
        <f>24535</f>
        <v>24535</v>
      </c>
      <c r="BG59" s="17"/>
      <c r="BH59" s="17"/>
      <c r="BI59" s="17"/>
      <c r="BJ59" s="1">
        <f t="shared" si="6"/>
        <v>139534</v>
      </c>
    </row>
    <row r="60" spans="1:256" s="18" customFormat="1" ht="12" hidden="1">
      <c r="A60" s="61" t="s">
        <v>54</v>
      </c>
      <c r="B60" s="61"/>
      <c r="C60" s="17">
        <f t="shared" si="1"/>
        <v>0</v>
      </c>
      <c r="D60" s="17"/>
      <c r="E60" s="17">
        <v>0</v>
      </c>
      <c r="F60" s="17"/>
      <c r="G60" s="17">
        <v>0</v>
      </c>
      <c r="H60" s="17"/>
      <c r="I60" s="17">
        <f t="shared" si="9"/>
        <v>0</v>
      </c>
      <c r="J60" s="17"/>
      <c r="K60" s="17">
        <f t="shared" si="11"/>
        <v>0</v>
      </c>
      <c r="L60" s="17"/>
      <c r="M60" s="17">
        <v>0</v>
      </c>
      <c r="N60" s="17"/>
      <c r="O60" s="17">
        <v>0</v>
      </c>
      <c r="P60" s="17"/>
      <c r="Q60" s="17">
        <v>0</v>
      </c>
      <c r="R60" s="17"/>
      <c r="S60" s="17">
        <v>0</v>
      </c>
      <c r="T60" s="17"/>
      <c r="U60" s="17">
        <f t="shared" si="2"/>
        <v>0</v>
      </c>
      <c r="V60" s="17">
        <f t="shared" si="10"/>
        <v>0</v>
      </c>
      <c r="W60" s="17"/>
      <c r="X60" s="61" t="s">
        <v>54</v>
      </c>
      <c r="Y60" s="17"/>
      <c r="Z60" s="17">
        <v>0</v>
      </c>
      <c r="AA60" s="17"/>
      <c r="AB60" s="17">
        <v>0</v>
      </c>
      <c r="AC60" s="17"/>
      <c r="AD60" s="17">
        <v>0</v>
      </c>
      <c r="AE60" s="17"/>
      <c r="AF60" s="17">
        <f t="shared" si="3"/>
        <v>0</v>
      </c>
      <c r="AG60" s="17"/>
      <c r="AH60" s="17">
        <v>0</v>
      </c>
      <c r="AI60" s="17"/>
      <c r="AJ60" s="17">
        <v>0</v>
      </c>
      <c r="AK60" s="17"/>
      <c r="AL60" s="17">
        <v>0</v>
      </c>
      <c r="AM60" s="17"/>
      <c r="AN60" s="17">
        <v>0</v>
      </c>
      <c r="AO60" s="17"/>
      <c r="AP60" s="17">
        <f t="shared" si="4"/>
        <v>0</v>
      </c>
      <c r="AQ60" s="17"/>
      <c r="AR60" s="17">
        <v>0</v>
      </c>
      <c r="AS60" s="17"/>
      <c r="AT60" s="17">
        <v>0</v>
      </c>
      <c r="AU60" s="17"/>
      <c r="AV60" s="17">
        <f t="shared" si="5"/>
        <v>0</v>
      </c>
      <c r="AW60" s="17"/>
      <c r="AX60" s="61" t="s">
        <v>54</v>
      </c>
      <c r="AY60" s="17"/>
      <c r="AZ60" s="17">
        <v>0</v>
      </c>
      <c r="BA60" s="17"/>
      <c r="BB60" s="17">
        <v>0</v>
      </c>
      <c r="BC60" s="17"/>
      <c r="BD60" s="17">
        <v>0</v>
      </c>
      <c r="BE60" s="17"/>
      <c r="BF60" s="17">
        <v>0</v>
      </c>
      <c r="BG60" s="17"/>
      <c r="BH60" s="17"/>
      <c r="BI60" s="17"/>
      <c r="BJ60" s="1">
        <f t="shared" si="6"/>
        <v>0</v>
      </c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62" s="18" customFormat="1" ht="12">
      <c r="A61" s="4" t="s">
        <v>55</v>
      </c>
      <c r="B61" s="4"/>
      <c r="C61" s="17">
        <f t="shared" si="1"/>
        <v>3548677</v>
      </c>
      <c r="D61" s="17"/>
      <c r="E61" s="17">
        <v>117018098</v>
      </c>
      <c r="F61" s="17"/>
      <c r="G61" s="17">
        <v>120566775</v>
      </c>
      <c r="H61" s="17"/>
      <c r="I61" s="17">
        <f t="shared" si="9"/>
        <v>2947734</v>
      </c>
      <c r="J61" s="17"/>
      <c r="K61" s="17">
        <f t="shared" si="11"/>
        <v>48518690</v>
      </c>
      <c r="L61" s="17"/>
      <c r="M61" s="17">
        <v>51466424</v>
      </c>
      <c r="N61" s="17"/>
      <c r="O61" s="17">
        <v>55955359</v>
      </c>
      <c r="P61" s="17"/>
      <c r="Q61" s="17">
        <v>0</v>
      </c>
      <c r="R61" s="17"/>
      <c r="S61" s="17">
        <v>13144992</v>
      </c>
      <c r="T61" s="17"/>
      <c r="U61" s="17">
        <f t="shared" si="2"/>
        <v>69100351</v>
      </c>
      <c r="V61" s="17">
        <f t="shared" si="10"/>
        <v>0</v>
      </c>
      <c r="W61" s="17"/>
      <c r="X61" s="4" t="s">
        <v>55</v>
      </c>
      <c r="Y61" s="17"/>
      <c r="Z61" s="17">
        <v>6530583</v>
      </c>
      <c r="AA61" s="17"/>
      <c r="AB61" s="17">
        <f>6472860-1359257</f>
        <v>5113603</v>
      </c>
      <c r="AC61" s="17"/>
      <c r="AD61" s="17">
        <v>1359257</v>
      </c>
      <c r="AE61" s="17"/>
      <c r="AF61" s="17">
        <f t="shared" si="3"/>
        <v>57723</v>
      </c>
      <c r="AG61" s="17"/>
      <c r="AH61" s="17">
        <v>-1769458</v>
      </c>
      <c r="AI61" s="17"/>
      <c r="AJ61" s="17">
        <v>0</v>
      </c>
      <c r="AK61" s="17"/>
      <c r="AL61" s="17">
        <v>0</v>
      </c>
      <c r="AM61" s="17"/>
      <c r="AN61" s="17">
        <v>10435017</v>
      </c>
      <c r="AO61" s="17"/>
      <c r="AP61" s="17">
        <f>+AN61+AJ61+AH61+AF61-AL61</f>
        <v>8723282</v>
      </c>
      <c r="AQ61" s="17"/>
      <c r="AR61" s="17">
        <v>0</v>
      </c>
      <c r="AS61" s="17"/>
      <c r="AT61" s="17">
        <v>0</v>
      </c>
      <c r="AU61" s="17"/>
      <c r="AV61" s="17">
        <f t="shared" si="5"/>
        <v>600943</v>
      </c>
      <c r="AW61" s="17"/>
      <c r="AX61" s="4" t="s">
        <v>55</v>
      </c>
      <c r="AY61" s="17"/>
      <c r="AZ61" s="17">
        <v>299053</v>
      </c>
      <c r="BA61" s="17"/>
      <c r="BB61" s="17">
        <v>0</v>
      </c>
      <c r="BC61" s="17"/>
      <c r="BD61" s="17">
        <f>47889143+235120</f>
        <v>48124263</v>
      </c>
      <c r="BE61" s="17"/>
      <c r="BF61" s="17">
        <v>95374</v>
      </c>
      <c r="BG61" s="17"/>
      <c r="BH61" s="17"/>
      <c r="BI61" s="17"/>
      <c r="BJ61" s="1">
        <f t="shared" si="6"/>
        <v>48518690</v>
      </c>
    </row>
    <row r="62" spans="1:62" s="18" customFormat="1" ht="12" hidden="1">
      <c r="A62" s="4" t="s">
        <v>171</v>
      </c>
      <c r="B62" s="4"/>
      <c r="C62" s="17">
        <f t="shared" si="1"/>
        <v>0</v>
      </c>
      <c r="D62" s="17"/>
      <c r="E62" s="17">
        <v>0</v>
      </c>
      <c r="F62" s="17"/>
      <c r="G62" s="17">
        <v>0</v>
      </c>
      <c r="H62" s="17"/>
      <c r="I62" s="17">
        <f t="shared" si="9"/>
        <v>0</v>
      </c>
      <c r="J62" s="17"/>
      <c r="K62" s="17">
        <f t="shared" si="11"/>
        <v>0</v>
      </c>
      <c r="L62" s="17"/>
      <c r="M62" s="17">
        <v>0</v>
      </c>
      <c r="N62" s="17"/>
      <c r="O62" s="17">
        <v>0</v>
      </c>
      <c r="P62" s="17"/>
      <c r="Q62" s="17">
        <v>0</v>
      </c>
      <c r="R62" s="17"/>
      <c r="S62" s="17">
        <v>0</v>
      </c>
      <c r="T62" s="17"/>
      <c r="U62" s="17">
        <f t="shared" si="2"/>
        <v>0</v>
      </c>
      <c r="V62" s="17">
        <f t="shared" si="10"/>
        <v>0</v>
      </c>
      <c r="W62" s="17"/>
      <c r="X62" s="4" t="s">
        <v>171</v>
      </c>
      <c r="Y62" s="17"/>
      <c r="Z62" s="17">
        <v>0</v>
      </c>
      <c r="AA62" s="17"/>
      <c r="AB62" s="17">
        <v>0</v>
      </c>
      <c r="AC62" s="17"/>
      <c r="AD62" s="17">
        <v>0</v>
      </c>
      <c r="AE62" s="17"/>
      <c r="AF62" s="17">
        <f t="shared" si="3"/>
        <v>0</v>
      </c>
      <c r="AG62" s="17"/>
      <c r="AH62" s="17">
        <v>0</v>
      </c>
      <c r="AI62" s="17"/>
      <c r="AJ62" s="17">
        <v>0</v>
      </c>
      <c r="AK62" s="17"/>
      <c r="AL62" s="17">
        <v>0</v>
      </c>
      <c r="AM62" s="17"/>
      <c r="AN62" s="17">
        <v>0</v>
      </c>
      <c r="AO62" s="17"/>
      <c r="AP62" s="17">
        <f t="shared" si="4"/>
        <v>0</v>
      </c>
      <c r="AQ62" s="17"/>
      <c r="AR62" s="17">
        <v>0</v>
      </c>
      <c r="AS62" s="17"/>
      <c r="AT62" s="17">
        <v>0</v>
      </c>
      <c r="AU62" s="17"/>
      <c r="AV62" s="17">
        <f t="shared" si="5"/>
        <v>0</v>
      </c>
      <c r="AW62" s="17"/>
      <c r="AX62" s="4" t="s">
        <v>171</v>
      </c>
      <c r="AY62" s="17"/>
      <c r="AZ62" s="17">
        <v>0</v>
      </c>
      <c r="BA62" s="17"/>
      <c r="BB62" s="17">
        <v>0</v>
      </c>
      <c r="BC62" s="17"/>
      <c r="BD62" s="17">
        <v>0</v>
      </c>
      <c r="BE62" s="17"/>
      <c r="BF62" s="17">
        <v>0</v>
      </c>
      <c r="BG62" s="17"/>
      <c r="BH62" s="17"/>
      <c r="BI62" s="17"/>
      <c r="BJ62" s="1">
        <f t="shared" si="6"/>
        <v>0</v>
      </c>
    </row>
    <row r="63" spans="1:62" s="18" customFormat="1" ht="12" hidden="1">
      <c r="A63" s="4" t="s">
        <v>56</v>
      </c>
      <c r="B63" s="4"/>
      <c r="C63" s="17">
        <f t="shared" si="1"/>
        <v>0</v>
      </c>
      <c r="D63" s="17"/>
      <c r="E63" s="17"/>
      <c r="F63" s="17"/>
      <c r="G63" s="17"/>
      <c r="H63" s="17"/>
      <c r="I63" s="17">
        <f t="shared" si="9"/>
        <v>0</v>
      </c>
      <c r="J63" s="17"/>
      <c r="K63" s="17">
        <f t="shared" si="11"/>
        <v>0</v>
      </c>
      <c r="L63" s="17"/>
      <c r="M63" s="17"/>
      <c r="N63" s="17"/>
      <c r="O63" s="17"/>
      <c r="P63" s="17"/>
      <c r="Q63" s="17"/>
      <c r="R63" s="17"/>
      <c r="S63" s="17"/>
      <c r="T63" s="17"/>
      <c r="U63" s="17">
        <f t="shared" si="2"/>
        <v>0</v>
      </c>
      <c r="V63" s="17">
        <f t="shared" si="10"/>
        <v>0</v>
      </c>
      <c r="W63" s="17"/>
      <c r="X63" s="4" t="s">
        <v>56</v>
      </c>
      <c r="Y63" s="17"/>
      <c r="Z63" s="17"/>
      <c r="AA63" s="17"/>
      <c r="AB63" s="17"/>
      <c r="AC63" s="17"/>
      <c r="AD63" s="17"/>
      <c r="AE63" s="17"/>
      <c r="AF63" s="17">
        <f t="shared" si="3"/>
        <v>0</v>
      </c>
      <c r="AG63" s="17"/>
      <c r="AH63" s="17"/>
      <c r="AI63" s="17"/>
      <c r="AJ63" s="17"/>
      <c r="AK63" s="17"/>
      <c r="AL63" s="17"/>
      <c r="AM63" s="17"/>
      <c r="AN63" s="17"/>
      <c r="AO63" s="17"/>
      <c r="AP63" s="17">
        <f t="shared" si="4"/>
        <v>0</v>
      </c>
      <c r="AQ63" s="17"/>
      <c r="AR63" s="17">
        <v>0</v>
      </c>
      <c r="AS63" s="17"/>
      <c r="AT63" s="17">
        <v>0</v>
      </c>
      <c r="AU63" s="17"/>
      <c r="AV63" s="17">
        <f t="shared" si="5"/>
        <v>0</v>
      </c>
      <c r="AW63" s="17"/>
      <c r="AX63" s="4" t="s">
        <v>56</v>
      </c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">
        <f t="shared" si="6"/>
        <v>0</v>
      </c>
    </row>
    <row r="64" spans="1:62" s="18" customFormat="1" ht="12">
      <c r="A64" s="4" t="s">
        <v>57</v>
      </c>
      <c r="B64" s="4"/>
      <c r="C64" s="17">
        <f t="shared" si="1"/>
        <v>236695</v>
      </c>
      <c r="D64" s="17"/>
      <c r="E64" s="17">
        <v>4379624</v>
      </c>
      <c r="F64" s="17"/>
      <c r="G64" s="17">
        <v>4616319</v>
      </c>
      <c r="H64" s="17"/>
      <c r="I64" s="17">
        <f t="shared" si="9"/>
        <v>191734</v>
      </c>
      <c r="J64" s="17"/>
      <c r="K64" s="17">
        <f t="shared" si="11"/>
        <v>2747441</v>
      </c>
      <c r="L64" s="17"/>
      <c r="M64" s="17">
        <v>2939175</v>
      </c>
      <c r="N64" s="17"/>
      <c r="O64" s="17">
        <v>1632183</v>
      </c>
      <c r="P64" s="17"/>
      <c r="Q64" s="17">
        <v>0</v>
      </c>
      <c r="R64" s="17"/>
      <c r="S64" s="17">
        <v>44961</v>
      </c>
      <c r="T64" s="17"/>
      <c r="U64" s="17">
        <f t="shared" si="2"/>
        <v>1677144</v>
      </c>
      <c r="V64" s="17">
        <f>G64-M64-U64</f>
        <v>0</v>
      </c>
      <c r="W64" s="17"/>
      <c r="X64" s="4" t="s">
        <v>57</v>
      </c>
      <c r="Y64" s="17"/>
      <c r="Z64" s="17">
        <v>862526</v>
      </c>
      <c r="AA64" s="17"/>
      <c r="AB64" s="17">
        <f>1119797-121731</f>
        <v>998066</v>
      </c>
      <c r="AC64" s="17"/>
      <c r="AD64" s="17">
        <v>121731</v>
      </c>
      <c r="AE64" s="17"/>
      <c r="AF64" s="17">
        <f t="shared" si="3"/>
        <v>-257271</v>
      </c>
      <c r="AG64" s="17"/>
      <c r="AH64" s="17">
        <v>15862</v>
      </c>
      <c r="AI64" s="17"/>
      <c r="AJ64" s="17">
        <v>0</v>
      </c>
      <c r="AK64" s="17"/>
      <c r="AL64" s="17">
        <v>0</v>
      </c>
      <c r="AM64" s="17"/>
      <c r="AN64" s="17">
        <v>0</v>
      </c>
      <c r="AO64" s="17"/>
      <c r="AP64" s="17">
        <f t="shared" si="4"/>
        <v>-241409</v>
      </c>
      <c r="AQ64" s="17"/>
      <c r="AR64" s="17">
        <v>0</v>
      </c>
      <c r="AS64" s="17"/>
      <c r="AT64" s="17">
        <v>0</v>
      </c>
      <c r="AU64" s="17"/>
      <c r="AV64" s="17">
        <f t="shared" si="5"/>
        <v>44961</v>
      </c>
      <c r="AW64" s="17"/>
      <c r="AX64" s="4" t="s">
        <v>57</v>
      </c>
      <c r="AY64" s="17"/>
      <c r="AZ64" s="17">
        <f>96445+1776236</f>
        <v>1872681</v>
      </c>
      <c r="BA64" s="17"/>
      <c r="BB64" s="17">
        <v>0</v>
      </c>
      <c r="BC64" s="17"/>
      <c r="BD64" s="17">
        <f>35000+530000</f>
        <v>565000</v>
      </c>
      <c r="BE64" s="17"/>
      <c r="BF64" s="17">
        <f>309760</f>
        <v>309760</v>
      </c>
      <c r="BG64" s="17"/>
      <c r="BH64" s="17"/>
      <c r="BI64" s="17"/>
      <c r="BJ64" s="1">
        <f t="shared" si="6"/>
        <v>2747441</v>
      </c>
    </row>
    <row r="65" spans="1:62" s="18" customFormat="1" ht="12" hidden="1">
      <c r="A65" s="4" t="s">
        <v>58</v>
      </c>
      <c r="B65" s="4"/>
      <c r="C65" s="17">
        <f t="shared" si="1"/>
        <v>0</v>
      </c>
      <c r="D65" s="17"/>
      <c r="E65" s="17"/>
      <c r="F65" s="17"/>
      <c r="G65" s="17"/>
      <c r="H65" s="17"/>
      <c r="I65" s="17">
        <f t="shared" si="9"/>
        <v>0</v>
      </c>
      <c r="J65" s="17"/>
      <c r="K65" s="17">
        <f t="shared" si="11"/>
        <v>0</v>
      </c>
      <c r="L65" s="17"/>
      <c r="M65" s="17"/>
      <c r="N65" s="17"/>
      <c r="O65" s="17"/>
      <c r="P65" s="17"/>
      <c r="Q65" s="17"/>
      <c r="R65" s="17"/>
      <c r="S65" s="17"/>
      <c r="T65" s="17"/>
      <c r="U65" s="17">
        <f t="shared" si="2"/>
        <v>0</v>
      </c>
      <c r="V65" s="17">
        <f t="shared" si="10"/>
        <v>0</v>
      </c>
      <c r="W65" s="17"/>
      <c r="X65" s="4" t="s">
        <v>58</v>
      </c>
      <c r="Y65" s="17"/>
      <c r="Z65" s="17"/>
      <c r="AA65" s="17"/>
      <c r="AB65" s="17"/>
      <c r="AC65" s="17"/>
      <c r="AD65" s="17"/>
      <c r="AE65" s="17"/>
      <c r="AF65" s="17">
        <f t="shared" si="3"/>
        <v>0</v>
      </c>
      <c r="AG65" s="17"/>
      <c r="AH65" s="17"/>
      <c r="AI65" s="17"/>
      <c r="AJ65" s="17"/>
      <c r="AK65" s="17"/>
      <c r="AL65" s="17"/>
      <c r="AM65" s="17"/>
      <c r="AN65" s="17"/>
      <c r="AO65" s="17"/>
      <c r="AP65" s="17">
        <f t="shared" si="4"/>
        <v>0</v>
      </c>
      <c r="AQ65" s="17"/>
      <c r="AR65" s="17">
        <v>0</v>
      </c>
      <c r="AS65" s="17"/>
      <c r="AT65" s="17">
        <v>0</v>
      </c>
      <c r="AU65" s="17"/>
      <c r="AV65" s="17">
        <f t="shared" si="5"/>
        <v>0</v>
      </c>
      <c r="AW65" s="17"/>
      <c r="AX65" s="4" t="s">
        <v>58</v>
      </c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">
        <f t="shared" si="6"/>
        <v>0</v>
      </c>
    </row>
    <row r="66" spans="1:63" s="18" customFormat="1" ht="12">
      <c r="A66" s="4" t="s">
        <v>59</v>
      </c>
      <c r="B66" s="4"/>
      <c r="C66" s="17">
        <f t="shared" si="1"/>
        <v>49476744</v>
      </c>
      <c r="D66" s="17"/>
      <c r="E66" s="17">
        <v>115945861</v>
      </c>
      <c r="F66" s="17"/>
      <c r="G66" s="17">
        <v>165422605</v>
      </c>
      <c r="H66" s="17"/>
      <c r="I66" s="17">
        <f t="shared" si="9"/>
        <v>8333741</v>
      </c>
      <c r="J66" s="17"/>
      <c r="K66" s="17">
        <f t="shared" si="11"/>
        <v>36891796</v>
      </c>
      <c r="L66" s="17"/>
      <c r="M66" s="17">
        <v>45225537</v>
      </c>
      <c r="N66" s="17"/>
      <c r="O66" s="17">
        <v>79041416</v>
      </c>
      <c r="P66" s="17"/>
      <c r="Q66" s="17">
        <f>29655612+2176345</f>
        <v>31831957</v>
      </c>
      <c r="R66" s="17"/>
      <c r="S66" s="17">
        <v>9323695</v>
      </c>
      <c r="T66" s="17"/>
      <c r="U66" s="17">
        <f t="shared" si="2"/>
        <v>120197068</v>
      </c>
      <c r="V66" s="17">
        <f t="shared" si="10"/>
        <v>0</v>
      </c>
      <c r="W66" s="17"/>
      <c r="X66" s="4" t="s">
        <v>59</v>
      </c>
      <c r="Y66" s="17"/>
      <c r="Z66" s="17">
        <v>29994661</v>
      </c>
      <c r="AA66" s="17"/>
      <c r="AB66" s="17">
        <f>30122056-4094984</f>
        <v>26027072</v>
      </c>
      <c r="AC66" s="17"/>
      <c r="AD66" s="17">
        <v>4094984</v>
      </c>
      <c r="AE66" s="17"/>
      <c r="AF66" s="17">
        <f t="shared" si="3"/>
        <v>-127395</v>
      </c>
      <c r="AG66" s="17"/>
      <c r="AH66" s="17">
        <v>-276367</v>
      </c>
      <c r="AI66" s="17"/>
      <c r="AJ66" s="17">
        <v>0</v>
      </c>
      <c r="AK66" s="17"/>
      <c r="AL66" s="17">
        <v>32075</v>
      </c>
      <c r="AM66" s="17"/>
      <c r="AN66" s="17">
        <v>1504441</v>
      </c>
      <c r="AO66" s="17"/>
      <c r="AP66" s="17">
        <f t="shared" si="4"/>
        <v>1068604</v>
      </c>
      <c r="AQ66" s="17"/>
      <c r="AR66" s="17">
        <v>0</v>
      </c>
      <c r="AS66" s="17"/>
      <c r="AT66" s="17">
        <v>0</v>
      </c>
      <c r="AU66" s="17"/>
      <c r="AV66" s="17">
        <f t="shared" si="5"/>
        <v>41143003</v>
      </c>
      <c r="AW66" s="17"/>
      <c r="AX66" s="4" t="s">
        <v>59</v>
      </c>
      <c r="AY66" s="17"/>
      <c r="AZ66" s="17">
        <f>1945945-8538</f>
        <v>1937407</v>
      </c>
      <c r="BA66" s="17"/>
      <c r="BB66" s="17">
        <f>32865000-1247767</f>
        <v>31617233</v>
      </c>
      <c r="BC66" s="17"/>
      <c r="BD66" s="17">
        <v>3000977</v>
      </c>
      <c r="BE66" s="17"/>
      <c r="BF66" s="17">
        <v>336179</v>
      </c>
      <c r="BG66" s="17"/>
      <c r="BH66" s="17"/>
      <c r="BI66" s="17"/>
      <c r="BJ66" s="1">
        <f t="shared" si="6"/>
        <v>36891796</v>
      </c>
      <c r="BK66" s="1"/>
    </row>
    <row r="67" spans="1:62" s="18" customFormat="1" ht="12" hidden="1">
      <c r="A67" s="4" t="s">
        <v>60</v>
      </c>
      <c r="B67" s="4"/>
      <c r="C67" s="17">
        <f t="shared" si="1"/>
        <v>0</v>
      </c>
      <c r="D67" s="17"/>
      <c r="E67" s="17"/>
      <c r="F67" s="17"/>
      <c r="G67" s="17"/>
      <c r="H67" s="17"/>
      <c r="I67" s="17">
        <f t="shared" si="9"/>
        <v>0</v>
      </c>
      <c r="J67" s="17"/>
      <c r="K67" s="17">
        <f t="shared" si="11"/>
        <v>0</v>
      </c>
      <c r="L67" s="17"/>
      <c r="M67" s="17"/>
      <c r="N67" s="17"/>
      <c r="O67" s="17"/>
      <c r="P67" s="17"/>
      <c r="Q67" s="17"/>
      <c r="R67" s="17"/>
      <c r="S67" s="17"/>
      <c r="T67" s="17"/>
      <c r="U67" s="17">
        <f t="shared" si="2"/>
        <v>0</v>
      </c>
      <c r="V67" s="17">
        <f t="shared" si="10"/>
        <v>0</v>
      </c>
      <c r="W67" s="17"/>
      <c r="X67" s="4" t="s">
        <v>60</v>
      </c>
      <c r="Y67" s="17"/>
      <c r="Z67" s="17"/>
      <c r="AA67" s="17"/>
      <c r="AB67" s="17"/>
      <c r="AC67" s="17"/>
      <c r="AD67" s="17"/>
      <c r="AE67" s="17"/>
      <c r="AF67" s="17">
        <f t="shared" si="3"/>
        <v>0</v>
      </c>
      <c r="AG67" s="17"/>
      <c r="AH67" s="17"/>
      <c r="AI67" s="17"/>
      <c r="AJ67" s="17"/>
      <c r="AK67" s="17"/>
      <c r="AL67" s="17"/>
      <c r="AM67" s="17"/>
      <c r="AN67" s="17"/>
      <c r="AO67" s="17"/>
      <c r="AP67" s="17">
        <f t="shared" si="4"/>
        <v>0</v>
      </c>
      <c r="AQ67" s="17"/>
      <c r="AR67" s="17">
        <v>0</v>
      </c>
      <c r="AS67" s="17"/>
      <c r="AT67" s="17">
        <v>0</v>
      </c>
      <c r="AU67" s="17"/>
      <c r="AV67" s="17">
        <f t="shared" si="5"/>
        <v>0</v>
      </c>
      <c r="AW67" s="17"/>
      <c r="AX67" s="4" t="s">
        <v>60</v>
      </c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">
        <f t="shared" si="6"/>
        <v>0</v>
      </c>
    </row>
    <row r="68" spans="1:62" s="18" customFormat="1" ht="12" hidden="1">
      <c r="A68" s="4" t="s">
        <v>97</v>
      </c>
      <c r="B68" s="4"/>
      <c r="C68" s="17">
        <f t="shared" si="1"/>
        <v>0</v>
      </c>
      <c r="D68" s="17"/>
      <c r="E68" s="17">
        <v>0</v>
      </c>
      <c r="F68" s="17"/>
      <c r="G68" s="17">
        <v>0</v>
      </c>
      <c r="H68" s="17"/>
      <c r="I68" s="17">
        <f t="shared" si="9"/>
        <v>0</v>
      </c>
      <c r="J68" s="17"/>
      <c r="K68" s="17">
        <v>0</v>
      </c>
      <c r="L68" s="17"/>
      <c r="M68" s="17">
        <v>0</v>
      </c>
      <c r="N68" s="17"/>
      <c r="O68" s="17">
        <v>0</v>
      </c>
      <c r="P68" s="17"/>
      <c r="Q68" s="17">
        <v>0</v>
      </c>
      <c r="R68" s="17"/>
      <c r="S68" s="17">
        <v>0</v>
      </c>
      <c r="T68" s="17"/>
      <c r="U68" s="17">
        <f t="shared" si="2"/>
        <v>0</v>
      </c>
      <c r="V68" s="17">
        <f t="shared" si="10"/>
        <v>0</v>
      </c>
      <c r="W68" s="17"/>
      <c r="X68" s="4" t="s">
        <v>97</v>
      </c>
      <c r="Y68" s="17"/>
      <c r="Z68" s="17">
        <v>0</v>
      </c>
      <c r="AA68" s="17"/>
      <c r="AB68" s="17">
        <v>0</v>
      </c>
      <c r="AC68" s="17"/>
      <c r="AD68" s="17">
        <v>0</v>
      </c>
      <c r="AE68" s="17"/>
      <c r="AF68" s="17">
        <f t="shared" si="3"/>
        <v>0</v>
      </c>
      <c r="AG68" s="17"/>
      <c r="AH68" s="17">
        <v>0</v>
      </c>
      <c r="AI68" s="17"/>
      <c r="AJ68" s="17">
        <v>0</v>
      </c>
      <c r="AK68" s="17"/>
      <c r="AL68" s="17">
        <v>0</v>
      </c>
      <c r="AM68" s="17"/>
      <c r="AN68" s="17">
        <v>0</v>
      </c>
      <c r="AO68" s="17"/>
      <c r="AP68" s="17">
        <f t="shared" si="4"/>
        <v>0</v>
      </c>
      <c r="AQ68" s="17"/>
      <c r="AR68" s="17">
        <v>0</v>
      </c>
      <c r="AS68" s="17"/>
      <c r="AT68" s="17">
        <v>0</v>
      </c>
      <c r="AU68" s="17"/>
      <c r="AV68" s="17">
        <f t="shared" si="5"/>
        <v>0</v>
      </c>
      <c r="AW68" s="17"/>
      <c r="AX68" s="4" t="s">
        <v>97</v>
      </c>
      <c r="AY68" s="17"/>
      <c r="AZ68" s="17">
        <v>0</v>
      </c>
      <c r="BA68" s="17"/>
      <c r="BB68" s="17">
        <v>0</v>
      </c>
      <c r="BC68" s="17"/>
      <c r="BD68" s="17">
        <v>0</v>
      </c>
      <c r="BE68" s="17"/>
      <c r="BF68" s="17">
        <v>0</v>
      </c>
      <c r="BG68" s="17"/>
      <c r="BH68" s="17"/>
      <c r="BI68" s="17"/>
      <c r="BJ68" s="1">
        <f t="shared" si="6"/>
        <v>0</v>
      </c>
    </row>
    <row r="69" spans="1:62" s="18" customFormat="1" ht="12">
      <c r="A69" s="4" t="s">
        <v>61</v>
      </c>
      <c r="B69" s="4"/>
      <c r="C69" s="17">
        <f t="shared" si="1"/>
        <v>2742983</v>
      </c>
      <c r="D69" s="17"/>
      <c r="E69" s="17">
        <v>21996204</v>
      </c>
      <c r="F69" s="17"/>
      <c r="G69" s="17">
        <v>24739187</v>
      </c>
      <c r="H69" s="17"/>
      <c r="I69" s="17">
        <f t="shared" si="9"/>
        <v>749878</v>
      </c>
      <c r="J69" s="17"/>
      <c r="K69" s="17">
        <f t="shared" si="11"/>
        <v>9491486</v>
      </c>
      <c r="L69" s="17"/>
      <c r="M69" s="17">
        <v>10241364</v>
      </c>
      <c r="N69" s="17"/>
      <c r="O69" s="17">
        <v>12179314</v>
      </c>
      <c r="P69" s="17"/>
      <c r="Q69" s="17">
        <v>0</v>
      </c>
      <c r="R69" s="17"/>
      <c r="S69" s="17">
        <v>2318509</v>
      </c>
      <c r="T69" s="17"/>
      <c r="U69" s="17">
        <f t="shared" si="2"/>
        <v>14497823</v>
      </c>
      <c r="V69" s="17">
        <f t="shared" si="10"/>
        <v>0</v>
      </c>
      <c r="W69" s="17"/>
      <c r="X69" s="4" t="s">
        <v>61</v>
      </c>
      <c r="Y69" s="17"/>
      <c r="Z69" s="17">
        <v>2883911</v>
      </c>
      <c r="AA69" s="17"/>
      <c r="AB69" s="17">
        <f>2347954-793113</f>
        <v>1554841</v>
      </c>
      <c r="AC69" s="17"/>
      <c r="AD69" s="17">
        <v>793113</v>
      </c>
      <c r="AE69" s="17"/>
      <c r="AF69" s="17">
        <f t="shared" si="3"/>
        <v>535957</v>
      </c>
      <c r="AG69" s="17"/>
      <c r="AH69" s="17">
        <v>-382879</v>
      </c>
      <c r="AI69" s="17"/>
      <c r="AJ69" s="17">
        <v>1000</v>
      </c>
      <c r="AK69" s="17"/>
      <c r="AL69" s="17">
        <v>0</v>
      </c>
      <c r="AM69" s="17"/>
      <c r="AN69" s="17">
        <f>831665+183082+304857</f>
        <v>1319604</v>
      </c>
      <c r="AO69" s="17"/>
      <c r="AP69" s="17">
        <f t="shared" si="4"/>
        <v>1473682</v>
      </c>
      <c r="AQ69" s="17"/>
      <c r="AR69" s="17">
        <v>0</v>
      </c>
      <c r="AS69" s="17"/>
      <c r="AT69" s="17">
        <v>0</v>
      </c>
      <c r="AU69" s="17"/>
      <c r="AV69" s="17">
        <f t="shared" si="5"/>
        <v>1993105</v>
      </c>
      <c r="AW69" s="17"/>
      <c r="AX69" s="4" t="s">
        <v>61</v>
      </c>
      <c r="AY69" s="17"/>
      <c r="AZ69" s="17">
        <v>6394589</v>
      </c>
      <c r="BA69" s="17"/>
      <c r="BB69" s="17">
        <v>0</v>
      </c>
      <c r="BC69" s="17"/>
      <c r="BD69" s="17">
        <v>3069146</v>
      </c>
      <c r="BE69" s="17"/>
      <c r="BF69" s="17">
        <v>27751</v>
      </c>
      <c r="BG69" s="17"/>
      <c r="BH69" s="17"/>
      <c r="BI69" s="17"/>
      <c r="BJ69" s="1">
        <f t="shared" si="6"/>
        <v>9491486</v>
      </c>
    </row>
    <row r="70" spans="1:62" s="18" customFormat="1" ht="12" hidden="1">
      <c r="A70" s="4" t="s">
        <v>62</v>
      </c>
      <c r="B70" s="4"/>
      <c r="C70" s="17">
        <f t="shared" si="1"/>
        <v>0</v>
      </c>
      <c r="D70" s="17"/>
      <c r="E70" s="17"/>
      <c r="F70" s="17"/>
      <c r="G70" s="17"/>
      <c r="H70" s="17"/>
      <c r="I70" s="17">
        <f t="shared" si="9"/>
        <v>0</v>
      </c>
      <c r="J70" s="17"/>
      <c r="K70" s="17">
        <f t="shared" si="11"/>
        <v>0</v>
      </c>
      <c r="L70" s="17"/>
      <c r="M70" s="17"/>
      <c r="N70" s="17"/>
      <c r="O70" s="17"/>
      <c r="P70" s="17"/>
      <c r="Q70" s="17"/>
      <c r="R70" s="17"/>
      <c r="S70" s="17"/>
      <c r="T70" s="17"/>
      <c r="U70" s="17">
        <f t="shared" si="2"/>
        <v>0</v>
      </c>
      <c r="V70" s="17">
        <f t="shared" si="10"/>
        <v>0</v>
      </c>
      <c r="W70" s="17"/>
      <c r="X70" s="4" t="s">
        <v>62</v>
      </c>
      <c r="Y70" s="17"/>
      <c r="Z70" s="17"/>
      <c r="AA70" s="17"/>
      <c r="AB70" s="17"/>
      <c r="AC70" s="17"/>
      <c r="AD70" s="17"/>
      <c r="AE70" s="17"/>
      <c r="AF70" s="17">
        <f t="shared" si="3"/>
        <v>0</v>
      </c>
      <c r="AG70" s="17"/>
      <c r="AH70" s="17"/>
      <c r="AI70" s="17"/>
      <c r="AJ70" s="17"/>
      <c r="AK70" s="17"/>
      <c r="AL70" s="17"/>
      <c r="AM70" s="17"/>
      <c r="AN70" s="17"/>
      <c r="AO70" s="17"/>
      <c r="AP70" s="17">
        <f t="shared" si="4"/>
        <v>0</v>
      </c>
      <c r="AQ70" s="17"/>
      <c r="AR70" s="17">
        <v>0</v>
      </c>
      <c r="AS70" s="17"/>
      <c r="AT70" s="17">
        <v>0</v>
      </c>
      <c r="AU70" s="17"/>
      <c r="AV70" s="17">
        <f t="shared" si="5"/>
        <v>0</v>
      </c>
      <c r="AW70" s="17"/>
      <c r="AX70" s="4" t="s">
        <v>62</v>
      </c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">
        <f t="shared" si="6"/>
        <v>0</v>
      </c>
    </row>
    <row r="71" spans="1:62" s="18" customFormat="1" ht="12">
      <c r="A71" s="4" t="s">
        <v>63</v>
      </c>
      <c r="B71" s="4"/>
      <c r="C71" s="17">
        <f t="shared" si="1"/>
        <v>6340013</v>
      </c>
      <c r="D71" s="17"/>
      <c r="E71" s="17">
        <v>67128708</v>
      </c>
      <c r="F71" s="17"/>
      <c r="G71" s="17">
        <v>73468721</v>
      </c>
      <c r="H71" s="17"/>
      <c r="I71" s="17">
        <f t="shared" si="9"/>
        <v>1925667</v>
      </c>
      <c r="J71" s="17"/>
      <c r="K71" s="17">
        <f t="shared" si="11"/>
        <v>30593023</v>
      </c>
      <c r="L71" s="17"/>
      <c r="M71" s="17">
        <v>32518690</v>
      </c>
      <c r="N71" s="17"/>
      <c r="O71" s="17">
        <v>35248698</v>
      </c>
      <c r="P71" s="17"/>
      <c r="Q71" s="17">
        <v>0</v>
      </c>
      <c r="R71" s="17"/>
      <c r="S71" s="17">
        <v>5701333</v>
      </c>
      <c r="T71" s="17"/>
      <c r="U71" s="17">
        <f t="shared" si="2"/>
        <v>40950031</v>
      </c>
      <c r="V71" s="17">
        <f t="shared" si="10"/>
        <v>0</v>
      </c>
      <c r="W71" s="17"/>
      <c r="X71" s="4" t="s">
        <v>63</v>
      </c>
      <c r="Y71" s="17"/>
      <c r="Z71" s="17">
        <v>4951019</v>
      </c>
      <c r="AA71" s="17"/>
      <c r="AB71" s="17">
        <f>3436401-1687230</f>
        <v>1749171</v>
      </c>
      <c r="AC71" s="17"/>
      <c r="AD71" s="17">
        <v>1687230</v>
      </c>
      <c r="AE71" s="17"/>
      <c r="AF71" s="17">
        <f t="shared" si="3"/>
        <v>1514618</v>
      </c>
      <c r="AG71" s="17"/>
      <c r="AH71" s="17">
        <v>-682410</v>
      </c>
      <c r="AI71" s="17"/>
      <c r="AJ71" s="17">
        <v>35426</v>
      </c>
      <c r="AK71" s="17"/>
      <c r="AL71" s="17">
        <v>0</v>
      </c>
      <c r="AM71" s="17"/>
      <c r="AN71" s="17">
        <v>60892</v>
      </c>
      <c r="AO71" s="17"/>
      <c r="AP71" s="17">
        <f t="shared" si="4"/>
        <v>928526</v>
      </c>
      <c r="AQ71" s="17"/>
      <c r="AR71" s="17">
        <v>0</v>
      </c>
      <c r="AS71" s="17"/>
      <c r="AT71" s="17">
        <v>0</v>
      </c>
      <c r="AU71" s="17"/>
      <c r="AV71" s="17">
        <f t="shared" si="5"/>
        <v>4414346</v>
      </c>
      <c r="AW71" s="17"/>
      <c r="AX71" s="4" t="s">
        <v>63</v>
      </c>
      <c r="AY71" s="17"/>
      <c r="AZ71" s="17">
        <v>0</v>
      </c>
      <c r="BA71" s="17"/>
      <c r="BB71" s="17">
        <v>1779300</v>
      </c>
      <c r="BC71" s="17"/>
      <c r="BD71" s="17">
        <f>25151596+219396+1067920+2338289</f>
        <v>28777201</v>
      </c>
      <c r="BE71" s="17"/>
      <c r="BF71" s="17">
        <v>36522</v>
      </c>
      <c r="BG71" s="17"/>
      <c r="BH71" s="17"/>
      <c r="BI71" s="17"/>
      <c r="BJ71" s="1">
        <f t="shared" si="6"/>
        <v>30593023</v>
      </c>
    </row>
    <row r="72" spans="1:62" s="18" customFormat="1" ht="12" hidden="1">
      <c r="A72" s="4" t="s">
        <v>132</v>
      </c>
      <c r="B72" s="4"/>
      <c r="C72" s="17">
        <f t="shared" si="1"/>
        <v>0</v>
      </c>
      <c r="D72" s="17"/>
      <c r="E72" s="17"/>
      <c r="F72" s="17"/>
      <c r="G72" s="17"/>
      <c r="H72" s="17"/>
      <c r="I72" s="17">
        <f t="shared" si="9"/>
        <v>0</v>
      </c>
      <c r="J72" s="17"/>
      <c r="K72" s="17">
        <f t="shared" si="11"/>
        <v>0</v>
      </c>
      <c r="L72" s="17"/>
      <c r="M72" s="17"/>
      <c r="N72" s="17"/>
      <c r="O72" s="17"/>
      <c r="P72" s="17"/>
      <c r="Q72" s="17"/>
      <c r="R72" s="17"/>
      <c r="S72" s="17"/>
      <c r="T72" s="17"/>
      <c r="U72" s="17">
        <f t="shared" si="2"/>
        <v>0</v>
      </c>
      <c r="V72" s="17">
        <f t="shared" si="10"/>
        <v>0</v>
      </c>
      <c r="W72" s="17"/>
      <c r="X72" s="4" t="s">
        <v>132</v>
      </c>
      <c r="Y72" s="17"/>
      <c r="Z72" s="17"/>
      <c r="AA72" s="17"/>
      <c r="AB72" s="17"/>
      <c r="AC72" s="17"/>
      <c r="AD72" s="17"/>
      <c r="AE72" s="17"/>
      <c r="AF72" s="17">
        <f t="shared" si="3"/>
        <v>0</v>
      </c>
      <c r="AG72" s="17"/>
      <c r="AH72" s="17"/>
      <c r="AI72" s="17"/>
      <c r="AJ72" s="17"/>
      <c r="AK72" s="17"/>
      <c r="AL72" s="17"/>
      <c r="AM72" s="17"/>
      <c r="AN72" s="17"/>
      <c r="AO72" s="17"/>
      <c r="AP72" s="17">
        <f t="shared" si="4"/>
        <v>0</v>
      </c>
      <c r="AQ72" s="17"/>
      <c r="AR72" s="17">
        <v>0</v>
      </c>
      <c r="AS72" s="17"/>
      <c r="AT72" s="17">
        <v>0</v>
      </c>
      <c r="AU72" s="17"/>
      <c r="AV72" s="17">
        <f t="shared" si="5"/>
        <v>0</v>
      </c>
      <c r="AW72" s="17"/>
      <c r="AX72" s="4" t="s">
        <v>132</v>
      </c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">
        <f t="shared" si="6"/>
        <v>0</v>
      </c>
    </row>
    <row r="73" spans="1:66" s="18" customFormat="1" ht="12" hidden="1">
      <c r="A73" s="4" t="s">
        <v>64</v>
      </c>
      <c r="B73" s="4"/>
      <c r="C73" s="17">
        <f t="shared" si="1"/>
        <v>0</v>
      </c>
      <c r="D73" s="17"/>
      <c r="E73" s="17"/>
      <c r="F73" s="17"/>
      <c r="G73" s="17"/>
      <c r="H73" s="17"/>
      <c r="I73" s="17">
        <f t="shared" si="9"/>
        <v>0</v>
      </c>
      <c r="J73" s="17"/>
      <c r="K73" s="17">
        <f t="shared" si="11"/>
        <v>0</v>
      </c>
      <c r="L73" s="17"/>
      <c r="M73" s="17"/>
      <c r="N73" s="17"/>
      <c r="O73" s="17"/>
      <c r="P73" s="17"/>
      <c r="Q73" s="17"/>
      <c r="R73" s="17"/>
      <c r="S73" s="17"/>
      <c r="T73" s="17"/>
      <c r="U73" s="17">
        <f t="shared" si="2"/>
        <v>0</v>
      </c>
      <c r="V73" s="17">
        <f t="shared" si="10"/>
        <v>0</v>
      </c>
      <c r="W73" s="17"/>
      <c r="X73" s="4" t="s">
        <v>64</v>
      </c>
      <c r="Y73" s="17"/>
      <c r="Z73" s="17"/>
      <c r="AA73" s="17"/>
      <c r="AB73" s="17"/>
      <c r="AC73" s="17"/>
      <c r="AD73" s="17"/>
      <c r="AE73" s="17"/>
      <c r="AF73" s="17">
        <f t="shared" si="3"/>
        <v>0</v>
      </c>
      <c r="AG73" s="17"/>
      <c r="AH73" s="17"/>
      <c r="AI73" s="17"/>
      <c r="AJ73" s="17"/>
      <c r="AK73" s="17"/>
      <c r="AL73" s="17"/>
      <c r="AM73" s="17"/>
      <c r="AN73" s="17"/>
      <c r="AO73" s="17"/>
      <c r="AP73" s="17">
        <f t="shared" si="4"/>
        <v>0</v>
      </c>
      <c r="AQ73" s="17"/>
      <c r="AR73" s="17">
        <v>0</v>
      </c>
      <c r="AS73" s="17"/>
      <c r="AT73" s="17">
        <v>0</v>
      </c>
      <c r="AU73" s="17"/>
      <c r="AV73" s="17">
        <f t="shared" si="5"/>
        <v>0</v>
      </c>
      <c r="AW73" s="17"/>
      <c r="AX73" s="4" t="s">
        <v>64</v>
      </c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">
        <f t="shared" si="6"/>
        <v>0</v>
      </c>
      <c r="BL73" s="63"/>
      <c r="BM73" s="63"/>
      <c r="BN73" s="63"/>
    </row>
    <row r="74" spans="1:66" s="18" customFormat="1" ht="12" hidden="1">
      <c r="A74" s="4" t="s">
        <v>65</v>
      </c>
      <c r="B74" s="4"/>
      <c r="C74" s="17">
        <f t="shared" si="1"/>
        <v>0</v>
      </c>
      <c r="D74" s="17"/>
      <c r="E74" s="17">
        <v>0</v>
      </c>
      <c r="F74" s="17"/>
      <c r="G74" s="17">
        <v>0</v>
      </c>
      <c r="H74" s="17"/>
      <c r="I74" s="17">
        <f t="shared" si="9"/>
        <v>0</v>
      </c>
      <c r="J74" s="17"/>
      <c r="K74" s="17">
        <f t="shared" si="11"/>
        <v>0</v>
      </c>
      <c r="L74" s="17"/>
      <c r="M74" s="17">
        <v>0</v>
      </c>
      <c r="N74" s="17"/>
      <c r="O74" s="17">
        <v>0</v>
      </c>
      <c r="P74" s="17"/>
      <c r="Q74" s="17">
        <v>0</v>
      </c>
      <c r="R74" s="17"/>
      <c r="S74" s="17">
        <v>0</v>
      </c>
      <c r="T74" s="17"/>
      <c r="U74" s="17">
        <f t="shared" si="2"/>
        <v>0</v>
      </c>
      <c r="V74" s="17">
        <f t="shared" si="10"/>
        <v>0</v>
      </c>
      <c r="W74" s="17"/>
      <c r="X74" s="4" t="s">
        <v>65</v>
      </c>
      <c r="Y74" s="17"/>
      <c r="Z74" s="17">
        <v>0</v>
      </c>
      <c r="AA74" s="17"/>
      <c r="AB74" s="17">
        <v>0</v>
      </c>
      <c r="AC74" s="17"/>
      <c r="AD74" s="17">
        <v>0</v>
      </c>
      <c r="AE74" s="17"/>
      <c r="AF74" s="17">
        <f t="shared" si="3"/>
        <v>0</v>
      </c>
      <c r="AG74" s="17"/>
      <c r="AH74" s="17">
        <v>0</v>
      </c>
      <c r="AI74" s="17"/>
      <c r="AJ74" s="17">
        <v>0</v>
      </c>
      <c r="AK74" s="17"/>
      <c r="AL74" s="17">
        <v>0</v>
      </c>
      <c r="AM74" s="17"/>
      <c r="AN74" s="17">
        <v>0</v>
      </c>
      <c r="AO74" s="17"/>
      <c r="AP74" s="17">
        <f t="shared" si="4"/>
        <v>0</v>
      </c>
      <c r="AQ74" s="17"/>
      <c r="AR74" s="17">
        <v>0</v>
      </c>
      <c r="AS74" s="17"/>
      <c r="AT74" s="17">
        <v>0</v>
      </c>
      <c r="AU74" s="17"/>
      <c r="AV74" s="17">
        <f t="shared" si="5"/>
        <v>0</v>
      </c>
      <c r="AW74" s="17"/>
      <c r="AX74" s="4" t="s">
        <v>65</v>
      </c>
      <c r="AY74" s="17"/>
      <c r="AZ74" s="17">
        <v>0</v>
      </c>
      <c r="BA74" s="17"/>
      <c r="BB74" s="17">
        <v>0</v>
      </c>
      <c r="BC74" s="17"/>
      <c r="BD74" s="17">
        <v>0</v>
      </c>
      <c r="BE74" s="17"/>
      <c r="BF74" s="17">
        <v>0</v>
      </c>
      <c r="BG74" s="17"/>
      <c r="BH74" s="17"/>
      <c r="BI74" s="17"/>
      <c r="BJ74" s="1">
        <f t="shared" si="6"/>
        <v>0</v>
      </c>
      <c r="BL74" s="63"/>
      <c r="BM74" s="63"/>
      <c r="BN74" s="63"/>
    </row>
    <row r="75" spans="1:62" s="18" customFormat="1" ht="12" hidden="1">
      <c r="A75" s="4" t="s">
        <v>66</v>
      </c>
      <c r="B75" s="4"/>
      <c r="C75" s="17">
        <f t="shared" si="1"/>
        <v>0</v>
      </c>
      <c r="D75" s="17"/>
      <c r="E75" s="17">
        <v>0</v>
      </c>
      <c r="F75" s="17"/>
      <c r="G75" s="17">
        <v>0</v>
      </c>
      <c r="H75" s="17"/>
      <c r="I75" s="17">
        <f t="shared" si="9"/>
        <v>0</v>
      </c>
      <c r="J75" s="17"/>
      <c r="K75" s="17">
        <f t="shared" si="11"/>
        <v>0</v>
      </c>
      <c r="L75" s="17"/>
      <c r="M75" s="17">
        <v>0</v>
      </c>
      <c r="N75" s="17"/>
      <c r="O75" s="17">
        <v>0</v>
      </c>
      <c r="P75" s="17"/>
      <c r="Q75" s="17">
        <v>0</v>
      </c>
      <c r="R75" s="17"/>
      <c r="S75" s="17">
        <v>0</v>
      </c>
      <c r="T75" s="17"/>
      <c r="U75" s="17">
        <f t="shared" si="2"/>
        <v>0</v>
      </c>
      <c r="V75" s="17">
        <f t="shared" si="10"/>
        <v>0</v>
      </c>
      <c r="W75" s="17"/>
      <c r="X75" s="4" t="s">
        <v>66</v>
      </c>
      <c r="Y75" s="17"/>
      <c r="Z75" s="17">
        <v>0</v>
      </c>
      <c r="AA75" s="17"/>
      <c r="AB75" s="17">
        <v>0</v>
      </c>
      <c r="AC75" s="17"/>
      <c r="AD75" s="17">
        <v>0</v>
      </c>
      <c r="AE75" s="17"/>
      <c r="AF75" s="17">
        <f t="shared" si="3"/>
        <v>0</v>
      </c>
      <c r="AG75" s="17"/>
      <c r="AH75" s="17">
        <v>0</v>
      </c>
      <c r="AI75" s="17"/>
      <c r="AJ75" s="17">
        <v>0</v>
      </c>
      <c r="AK75" s="17"/>
      <c r="AL75" s="17">
        <v>0</v>
      </c>
      <c r="AM75" s="17"/>
      <c r="AN75" s="17">
        <v>0</v>
      </c>
      <c r="AO75" s="17"/>
      <c r="AP75" s="17">
        <f t="shared" si="4"/>
        <v>0</v>
      </c>
      <c r="AQ75" s="17"/>
      <c r="AR75" s="17">
        <v>0</v>
      </c>
      <c r="AS75" s="17"/>
      <c r="AT75" s="17">
        <v>0</v>
      </c>
      <c r="AU75" s="17"/>
      <c r="AV75" s="17">
        <f t="shared" si="5"/>
        <v>0</v>
      </c>
      <c r="AW75" s="17"/>
      <c r="AX75" s="4" t="s">
        <v>66</v>
      </c>
      <c r="AY75" s="17"/>
      <c r="AZ75" s="17">
        <v>0</v>
      </c>
      <c r="BA75" s="17"/>
      <c r="BB75" s="17">
        <v>0</v>
      </c>
      <c r="BC75" s="17"/>
      <c r="BD75" s="17">
        <v>0</v>
      </c>
      <c r="BE75" s="17"/>
      <c r="BF75" s="17">
        <v>0</v>
      </c>
      <c r="BG75" s="17"/>
      <c r="BH75" s="17"/>
      <c r="BI75" s="17"/>
      <c r="BJ75" s="1">
        <f t="shared" si="6"/>
        <v>0</v>
      </c>
    </row>
    <row r="76" spans="1:62" s="18" customFormat="1" ht="12">
      <c r="A76" s="4" t="s">
        <v>67</v>
      </c>
      <c r="B76" s="4"/>
      <c r="C76" s="17">
        <f aca="true" t="shared" si="12" ref="C76:C96">+G76-E76</f>
        <v>4368349</v>
      </c>
      <c r="D76" s="17"/>
      <c r="E76" s="17">
        <v>13935440</v>
      </c>
      <c r="F76" s="17"/>
      <c r="G76" s="17">
        <v>18303789</v>
      </c>
      <c r="H76" s="17"/>
      <c r="I76" s="17">
        <f t="shared" si="9"/>
        <v>862297</v>
      </c>
      <c r="J76" s="17"/>
      <c r="K76" s="17">
        <f t="shared" si="11"/>
        <v>6340391</v>
      </c>
      <c r="L76" s="17"/>
      <c r="M76" s="17">
        <v>7202688</v>
      </c>
      <c r="N76" s="17"/>
      <c r="O76" s="17">
        <v>6892543</v>
      </c>
      <c r="P76" s="17"/>
      <c r="Q76" s="17">
        <v>0</v>
      </c>
      <c r="R76" s="17"/>
      <c r="S76" s="17">
        <v>4208558</v>
      </c>
      <c r="T76" s="17"/>
      <c r="U76" s="17">
        <f aca="true" t="shared" si="13" ref="U76:U96">SUM(O76:S76)</f>
        <v>11101101</v>
      </c>
      <c r="V76" s="17">
        <f t="shared" si="10"/>
        <v>0</v>
      </c>
      <c r="W76" s="17"/>
      <c r="X76" s="4" t="s">
        <v>67</v>
      </c>
      <c r="Y76" s="17"/>
      <c r="Z76" s="17">
        <v>4351697</v>
      </c>
      <c r="AA76" s="17"/>
      <c r="AB76" s="17">
        <f>2270988-311811</f>
        <v>1959177</v>
      </c>
      <c r="AC76" s="17"/>
      <c r="AD76" s="17">
        <v>311811</v>
      </c>
      <c r="AE76" s="17"/>
      <c r="AF76" s="17">
        <f aca="true" t="shared" si="14" ref="AF76:AF96">+Z76-AB76-AD76</f>
        <v>2080709</v>
      </c>
      <c r="AG76" s="17"/>
      <c r="AH76" s="17">
        <v>-258085</v>
      </c>
      <c r="AI76" s="17"/>
      <c r="AJ76" s="17">
        <v>0</v>
      </c>
      <c r="AK76" s="17"/>
      <c r="AL76" s="17">
        <v>0</v>
      </c>
      <c r="AM76" s="17"/>
      <c r="AN76" s="17">
        <v>0</v>
      </c>
      <c r="AO76" s="17"/>
      <c r="AP76" s="17">
        <f aca="true" t="shared" si="15" ref="AP76:AP96">+AN76+AJ76+AH76+AF76-AL76</f>
        <v>1822624</v>
      </c>
      <c r="AQ76" s="17"/>
      <c r="AR76" s="17">
        <v>0</v>
      </c>
      <c r="AS76" s="17"/>
      <c r="AT76" s="17">
        <v>0</v>
      </c>
      <c r="AU76" s="17"/>
      <c r="AV76" s="17">
        <f aca="true" t="shared" si="16" ref="AV76:AV96">C76-I76</f>
        <v>3506052</v>
      </c>
      <c r="AW76" s="17"/>
      <c r="AX76" s="4" t="s">
        <v>67</v>
      </c>
      <c r="AY76" s="17"/>
      <c r="AZ76" s="17">
        <v>0</v>
      </c>
      <c r="BA76" s="17"/>
      <c r="BB76" s="17">
        <v>6241055</v>
      </c>
      <c r="BC76" s="17"/>
      <c r="BD76" s="17">
        <f>67272+9128</f>
        <v>76400</v>
      </c>
      <c r="BE76" s="17"/>
      <c r="BF76" s="17">
        <v>22936</v>
      </c>
      <c r="BG76" s="17"/>
      <c r="BH76" s="17"/>
      <c r="BI76" s="17"/>
      <c r="BJ76" s="1">
        <f aca="true" t="shared" si="17" ref="BJ76:BJ96">SUM(AZ76:BF76)+BH76</f>
        <v>6340391</v>
      </c>
    </row>
    <row r="77" spans="1:62" s="18" customFormat="1" ht="12" hidden="1">
      <c r="A77" s="4" t="s">
        <v>68</v>
      </c>
      <c r="B77" s="4"/>
      <c r="C77" s="17">
        <f t="shared" si="12"/>
        <v>0</v>
      </c>
      <c r="D77" s="17"/>
      <c r="E77" s="17">
        <v>0</v>
      </c>
      <c r="F77" s="17"/>
      <c r="G77" s="17">
        <v>0</v>
      </c>
      <c r="H77" s="17"/>
      <c r="I77" s="17">
        <f aca="true" t="shared" si="18" ref="I77:I92">+M77-K77</f>
        <v>0</v>
      </c>
      <c r="J77" s="17"/>
      <c r="K77" s="17">
        <f aca="true" t="shared" si="19" ref="K77:K96">SUM(BJ77)</f>
        <v>0</v>
      </c>
      <c r="L77" s="17"/>
      <c r="M77" s="17">
        <v>0</v>
      </c>
      <c r="N77" s="17"/>
      <c r="O77" s="17">
        <v>0</v>
      </c>
      <c r="P77" s="17"/>
      <c r="Q77" s="17">
        <v>0</v>
      </c>
      <c r="R77" s="17"/>
      <c r="S77" s="17">
        <v>0</v>
      </c>
      <c r="T77" s="17"/>
      <c r="U77" s="17">
        <f t="shared" si="13"/>
        <v>0</v>
      </c>
      <c r="V77" s="17">
        <f t="shared" si="10"/>
        <v>0</v>
      </c>
      <c r="W77" s="17"/>
      <c r="X77" s="4" t="s">
        <v>68</v>
      </c>
      <c r="Y77" s="17"/>
      <c r="Z77" s="17">
        <v>0</v>
      </c>
      <c r="AA77" s="17"/>
      <c r="AB77" s="17">
        <v>0</v>
      </c>
      <c r="AC77" s="17"/>
      <c r="AD77" s="17">
        <v>0</v>
      </c>
      <c r="AE77" s="17"/>
      <c r="AF77" s="17">
        <f t="shared" si="14"/>
        <v>0</v>
      </c>
      <c r="AG77" s="17"/>
      <c r="AH77" s="17">
        <v>0</v>
      </c>
      <c r="AI77" s="17"/>
      <c r="AJ77" s="17">
        <v>0</v>
      </c>
      <c r="AK77" s="17"/>
      <c r="AL77" s="17">
        <v>0</v>
      </c>
      <c r="AM77" s="17"/>
      <c r="AN77" s="17">
        <v>0</v>
      </c>
      <c r="AO77" s="17"/>
      <c r="AP77" s="17">
        <f t="shared" si="15"/>
        <v>0</v>
      </c>
      <c r="AQ77" s="17"/>
      <c r="AR77" s="17">
        <v>0</v>
      </c>
      <c r="AS77" s="17"/>
      <c r="AT77" s="17">
        <v>0</v>
      </c>
      <c r="AU77" s="17"/>
      <c r="AV77" s="17">
        <f t="shared" si="16"/>
        <v>0</v>
      </c>
      <c r="AW77" s="17"/>
      <c r="AX77" s="4" t="s">
        <v>68</v>
      </c>
      <c r="AY77" s="17"/>
      <c r="AZ77" s="17">
        <v>0</v>
      </c>
      <c r="BA77" s="17"/>
      <c r="BB77" s="17">
        <v>0</v>
      </c>
      <c r="BC77" s="17"/>
      <c r="BD77" s="17">
        <v>0</v>
      </c>
      <c r="BE77" s="17"/>
      <c r="BF77" s="17">
        <v>0</v>
      </c>
      <c r="BG77" s="17"/>
      <c r="BH77" s="17"/>
      <c r="BI77" s="17"/>
      <c r="BJ77" s="1">
        <f t="shared" si="17"/>
        <v>0</v>
      </c>
    </row>
    <row r="78" spans="1:62" s="18" customFormat="1" ht="12" hidden="1">
      <c r="A78" s="4" t="s">
        <v>176</v>
      </c>
      <c r="B78" s="4"/>
      <c r="C78" s="17">
        <f t="shared" si="12"/>
        <v>0</v>
      </c>
      <c r="D78" s="17"/>
      <c r="E78" s="17">
        <v>0</v>
      </c>
      <c r="F78" s="17"/>
      <c r="G78" s="17">
        <v>0</v>
      </c>
      <c r="H78" s="17"/>
      <c r="I78" s="17">
        <f t="shared" si="18"/>
        <v>0</v>
      </c>
      <c r="J78" s="17"/>
      <c r="K78" s="17">
        <f t="shared" si="19"/>
        <v>0</v>
      </c>
      <c r="L78" s="17"/>
      <c r="M78" s="17">
        <v>0</v>
      </c>
      <c r="N78" s="17"/>
      <c r="O78" s="17">
        <v>0</v>
      </c>
      <c r="P78" s="17"/>
      <c r="Q78" s="17">
        <v>0</v>
      </c>
      <c r="R78" s="17"/>
      <c r="S78" s="17">
        <v>0</v>
      </c>
      <c r="T78" s="17"/>
      <c r="U78" s="17">
        <f t="shared" si="13"/>
        <v>0</v>
      </c>
      <c r="V78" s="17">
        <f t="shared" si="10"/>
        <v>0</v>
      </c>
      <c r="W78" s="17"/>
      <c r="X78" s="4" t="s">
        <v>176</v>
      </c>
      <c r="Y78" s="17"/>
      <c r="Z78" s="17">
        <v>0</v>
      </c>
      <c r="AA78" s="17"/>
      <c r="AB78" s="17">
        <v>0</v>
      </c>
      <c r="AC78" s="17"/>
      <c r="AD78" s="17">
        <v>0</v>
      </c>
      <c r="AE78" s="17"/>
      <c r="AF78" s="17">
        <f t="shared" si="14"/>
        <v>0</v>
      </c>
      <c r="AG78" s="17"/>
      <c r="AH78" s="17">
        <v>0</v>
      </c>
      <c r="AI78" s="17"/>
      <c r="AJ78" s="17">
        <v>0</v>
      </c>
      <c r="AK78" s="17"/>
      <c r="AL78" s="17">
        <v>0</v>
      </c>
      <c r="AM78" s="17"/>
      <c r="AN78" s="17">
        <v>0</v>
      </c>
      <c r="AO78" s="17"/>
      <c r="AP78" s="17">
        <f t="shared" si="15"/>
        <v>0</v>
      </c>
      <c r="AQ78" s="17"/>
      <c r="AR78" s="17">
        <v>0</v>
      </c>
      <c r="AS78" s="17"/>
      <c r="AT78" s="17">
        <v>0</v>
      </c>
      <c r="AU78" s="17"/>
      <c r="AV78" s="17">
        <f t="shared" si="16"/>
        <v>0</v>
      </c>
      <c r="AW78" s="17"/>
      <c r="AX78" s="4" t="s">
        <v>176</v>
      </c>
      <c r="AY78" s="17"/>
      <c r="AZ78" s="17">
        <v>0</v>
      </c>
      <c r="BA78" s="17"/>
      <c r="BB78" s="17">
        <v>0</v>
      </c>
      <c r="BC78" s="17"/>
      <c r="BD78" s="17">
        <v>0</v>
      </c>
      <c r="BE78" s="17"/>
      <c r="BF78" s="17">
        <v>0</v>
      </c>
      <c r="BG78" s="17"/>
      <c r="BH78" s="17"/>
      <c r="BI78" s="17"/>
      <c r="BJ78" s="1">
        <f t="shared" si="17"/>
        <v>0</v>
      </c>
    </row>
    <row r="79" spans="1:62" s="18" customFormat="1" ht="12" hidden="1">
      <c r="A79" s="4" t="s">
        <v>133</v>
      </c>
      <c r="B79" s="4"/>
      <c r="C79" s="17">
        <f t="shared" si="12"/>
        <v>0</v>
      </c>
      <c r="D79" s="17"/>
      <c r="E79" s="17">
        <v>0</v>
      </c>
      <c r="F79" s="17"/>
      <c r="G79" s="17">
        <v>0</v>
      </c>
      <c r="H79" s="17"/>
      <c r="I79" s="17">
        <f t="shared" si="18"/>
        <v>0</v>
      </c>
      <c r="J79" s="17"/>
      <c r="K79" s="17">
        <f t="shared" si="19"/>
        <v>0</v>
      </c>
      <c r="L79" s="17"/>
      <c r="M79" s="17">
        <v>0</v>
      </c>
      <c r="N79" s="17"/>
      <c r="O79" s="17">
        <v>0</v>
      </c>
      <c r="P79" s="17"/>
      <c r="Q79" s="17">
        <v>0</v>
      </c>
      <c r="R79" s="17"/>
      <c r="S79" s="17">
        <v>0</v>
      </c>
      <c r="T79" s="17"/>
      <c r="U79" s="17">
        <f t="shared" si="13"/>
        <v>0</v>
      </c>
      <c r="V79" s="17">
        <f t="shared" si="10"/>
        <v>0</v>
      </c>
      <c r="W79" s="17"/>
      <c r="X79" s="4" t="s">
        <v>133</v>
      </c>
      <c r="Y79" s="17"/>
      <c r="Z79" s="17">
        <v>0</v>
      </c>
      <c r="AA79" s="17"/>
      <c r="AB79" s="17">
        <v>0</v>
      </c>
      <c r="AC79" s="17"/>
      <c r="AD79" s="17">
        <v>0</v>
      </c>
      <c r="AE79" s="17"/>
      <c r="AF79" s="17">
        <f t="shared" si="14"/>
        <v>0</v>
      </c>
      <c r="AG79" s="17"/>
      <c r="AH79" s="17">
        <v>0</v>
      </c>
      <c r="AI79" s="17"/>
      <c r="AJ79" s="17">
        <v>0</v>
      </c>
      <c r="AK79" s="17"/>
      <c r="AL79" s="17">
        <v>0</v>
      </c>
      <c r="AM79" s="17"/>
      <c r="AN79" s="17">
        <v>0</v>
      </c>
      <c r="AO79" s="17"/>
      <c r="AP79" s="17">
        <f t="shared" si="15"/>
        <v>0</v>
      </c>
      <c r="AQ79" s="17"/>
      <c r="AR79" s="17">
        <v>0</v>
      </c>
      <c r="AS79" s="17"/>
      <c r="AT79" s="17">
        <v>0</v>
      </c>
      <c r="AU79" s="17"/>
      <c r="AV79" s="17">
        <f t="shared" si="16"/>
        <v>0</v>
      </c>
      <c r="AW79" s="17"/>
      <c r="AX79" s="4" t="s">
        <v>133</v>
      </c>
      <c r="AY79" s="17"/>
      <c r="AZ79" s="17">
        <v>0</v>
      </c>
      <c r="BA79" s="17"/>
      <c r="BB79" s="17">
        <v>0</v>
      </c>
      <c r="BC79" s="17"/>
      <c r="BD79" s="17">
        <v>0</v>
      </c>
      <c r="BE79" s="17"/>
      <c r="BF79" s="17">
        <v>0</v>
      </c>
      <c r="BG79" s="17"/>
      <c r="BH79" s="17"/>
      <c r="BI79" s="17"/>
      <c r="BJ79" s="1">
        <f t="shared" si="17"/>
        <v>0</v>
      </c>
    </row>
    <row r="80" spans="1:62" s="18" customFormat="1" ht="12" hidden="1">
      <c r="A80" s="4" t="s">
        <v>69</v>
      </c>
      <c r="B80" s="4"/>
      <c r="C80" s="17">
        <f t="shared" si="12"/>
        <v>0</v>
      </c>
      <c r="D80" s="17"/>
      <c r="E80" s="17">
        <v>0</v>
      </c>
      <c r="F80" s="17"/>
      <c r="G80" s="17">
        <v>0</v>
      </c>
      <c r="H80" s="17"/>
      <c r="I80" s="17">
        <f t="shared" si="18"/>
        <v>0</v>
      </c>
      <c r="J80" s="17"/>
      <c r="K80" s="17">
        <f t="shared" si="19"/>
        <v>0</v>
      </c>
      <c r="L80" s="17"/>
      <c r="M80" s="17">
        <v>0</v>
      </c>
      <c r="N80" s="17"/>
      <c r="O80" s="17">
        <v>0</v>
      </c>
      <c r="P80" s="17"/>
      <c r="Q80" s="17">
        <v>0</v>
      </c>
      <c r="R80" s="17"/>
      <c r="S80" s="17">
        <v>0</v>
      </c>
      <c r="T80" s="17"/>
      <c r="U80" s="17">
        <f t="shared" si="13"/>
        <v>0</v>
      </c>
      <c r="V80" s="17">
        <f aca="true" t="shared" si="20" ref="V80:V96">G80-M80-U80</f>
        <v>0</v>
      </c>
      <c r="W80" s="17"/>
      <c r="X80" s="4" t="s">
        <v>69</v>
      </c>
      <c r="Y80" s="17"/>
      <c r="Z80" s="17">
        <v>0</v>
      </c>
      <c r="AA80" s="17"/>
      <c r="AB80" s="17">
        <v>0</v>
      </c>
      <c r="AC80" s="17"/>
      <c r="AD80" s="17">
        <v>0</v>
      </c>
      <c r="AE80" s="17"/>
      <c r="AF80" s="17">
        <f t="shared" si="14"/>
        <v>0</v>
      </c>
      <c r="AG80" s="17"/>
      <c r="AH80" s="17">
        <v>0</v>
      </c>
      <c r="AI80" s="17"/>
      <c r="AJ80" s="17">
        <v>0</v>
      </c>
      <c r="AK80" s="17"/>
      <c r="AL80" s="17">
        <v>0</v>
      </c>
      <c r="AM80" s="17"/>
      <c r="AN80" s="17">
        <v>0</v>
      </c>
      <c r="AO80" s="17"/>
      <c r="AP80" s="17">
        <f t="shared" si="15"/>
        <v>0</v>
      </c>
      <c r="AQ80" s="17"/>
      <c r="AR80" s="17">
        <v>0</v>
      </c>
      <c r="AS80" s="17"/>
      <c r="AT80" s="17">
        <v>0</v>
      </c>
      <c r="AU80" s="17"/>
      <c r="AV80" s="17">
        <f t="shared" si="16"/>
        <v>0</v>
      </c>
      <c r="AW80" s="17"/>
      <c r="AX80" s="4" t="s">
        <v>69</v>
      </c>
      <c r="AY80" s="17"/>
      <c r="AZ80" s="17">
        <v>0</v>
      </c>
      <c r="BA80" s="17"/>
      <c r="BB80" s="17">
        <v>0</v>
      </c>
      <c r="BC80" s="17"/>
      <c r="BD80" s="17">
        <v>0</v>
      </c>
      <c r="BE80" s="17"/>
      <c r="BF80" s="17">
        <v>0</v>
      </c>
      <c r="BG80" s="17"/>
      <c r="BH80" s="17"/>
      <c r="BI80" s="17"/>
      <c r="BJ80" s="1">
        <f t="shared" si="17"/>
        <v>0</v>
      </c>
    </row>
    <row r="81" spans="1:62" s="18" customFormat="1" ht="12" hidden="1">
      <c r="A81" s="4" t="s">
        <v>98</v>
      </c>
      <c r="B81" s="4"/>
      <c r="C81" s="17">
        <f t="shared" si="12"/>
        <v>0</v>
      </c>
      <c r="D81" s="17"/>
      <c r="E81" s="17">
        <v>0</v>
      </c>
      <c r="F81" s="17"/>
      <c r="G81" s="17">
        <v>0</v>
      </c>
      <c r="H81" s="17"/>
      <c r="I81" s="17">
        <f t="shared" si="18"/>
        <v>0</v>
      </c>
      <c r="J81" s="17"/>
      <c r="K81" s="17">
        <f t="shared" si="19"/>
        <v>0</v>
      </c>
      <c r="L81" s="17"/>
      <c r="M81" s="17">
        <v>0</v>
      </c>
      <c r="N81" s="17"/>
      <c r="O81" s="17">
        <v>0</v>
      </c>
      <c r="P81" s="17"/>
      <c r="Q81" s="17">
        <v>0</v>
      </c>
      <c r="R81" s="17"/>
      <c r="S81" s="17">
        <v>0</v>
      </c>
      <c r="T81" s="17"/>
      <c r="U81" s="17">
        <f t="shared" si="13"/>
        <v>0</v>
      </c>
      <c r="V81" s="17">
        <f t="shared" si="20"/>
        <v>0</v>
      </c>
      <c r="W81" s="17"/>
      <c r="X81" s="4" t="s">
        <v>98</v>
      </c>
      <c r="Y81" s="17"/>
      <c r="Z81" s="17">
        <v>0</v>
      </c>
      <c r="AA81" s="17"/>
      <c r="AB81" s="17">
        <v>0</v>
      </c>
      <c r="AC81" s="17"/>
      <c r="AD81" s="17">
        <v>0</v>
      </c>
      <c r="AE81" s="17"/>
      <c r="AF81" s="17">
        <f t="shared" si="14"/>
        <v>0</v>
      </c>
      <c r="AG81" s="17"/>
      <c r="AH81" s="17">
        <v>0</v>
      </c>
      <c r="AI81" s="17"/>
      <c r="AJ81" s="17">
        <v>0</v>
      </c>
      <c r="AK81" s="17"/>
      <c r="AL81" s="17">
        <v>0</v>
      </c>
      <c r="AM81" s="17"/>
      <c r="AN81" s="17">
        <v>0</v>
      </c>
      <c r="AO81" s="17"/>
      <c r="AP81" s="17">
        <f t="shared" si="15"/>
        <v>0</v>
      </c>
      <c r="AQ81" s="17"/>
      <c r="AR81" s="17">
        <v>0</v>
      </c>
      <c r="AS81" s="17"/>
      <c r="AT81" s="17">
        <v>0</v>
      </c>
      <c r="AU81" s="17"/>
      <c r="AV81" s="17">
        <f t="shared" si="16"/>
        <v>0</v>
      </c>
      <c r="AW81" s="17"/>
      <c r="AX81" s="4" t="s">
        <v>98</v>
      </c>
      <c r="AY81" s="17"/>
      <c r="AZ81" s="17">
        <v>0</v>
      </c>
      <c r="BA81" s="17"/>
      <c r="BB81" s="17">
        <v>0</v>
      </c>
      <c r="BC81" s="17"/>
      <c r="BD81" s="17">
        <v>0</v>
      </c>
      <c r="BE81" s="17"/>
      <c r="BF81" s="17">
        <v>0</v>
      </c>
      <c r="BG81" s="17"/>
      <c r="BH81" s="17"/>
      <c r="BI81" s="17"/>
      <c r="BJ81" s="1">
        <f t="shared" si="17"/>
        <v>0</v>
      </c>
    </row>
    <row r="82" spans="1:62" s="18" customFormat="1" ht="12" hidden="1">
      <c r="A82" s="4" t="s">
        <v>70</v>
      </c>
      <c r="B82" s="4"/>
      <c r="C82" s="17">
        <f t="shared" si="12"/>
        <v>0</v>
      </c>
      <c r="D82" s="17"/>
      <c r="E82" s="17">
        <v>0</v>
      </c>
      <c r="F82" s="17"/>
      <c r="G82" s="17">
        <v>0</v>
      </c>
      <c r="H82" s="17"/>
      <c r="I82" s="17">
        <f t="shared" si="18"/>
        <v>0</v>
      </c>
      <c r="J82" s="17"/>
      <c r="K82" s="17">
        <f t="shared" si="19"/>
        <v>0</v>
      </c>
      <c r="L82" s="17"/>
      <c r="M82" s="17">
        <v>0</v>
      </c>
      <c r="N82" s="17"/>
      <c r="O82" s="17">
        <v>0</v>
      </c>
      <c r="P82" s="17"/>
      <c r="Q82" s="17">
        <v>0</v>
      </c>
      <c r="R82" s="17"/>
      <c r="S82" s="17">
        <v>0</v>
      </c>
      <c r="T82" s="17"/>
      <c r="U82" s="17">
        <f t="shared" si="13"/>
        <v>0</v>
      </c>
      <c r="V82" s="17">
        <f t="shared" si="20"/>
        <v>0</v>
      </c>
      <c r="W82" s="17"/>
      <c r="X82" s="4" t="s">
        <v>70</v>
      </c>
      <c r="Y82" s="17"/>
      <c r="Z82" s="17">
        <v>0</v>
      </c>
      <c r="AA82" s="17"/>
      <c r="AB82" s="17">
        <v>0</v>
      </c>
      <c r="AC82" s="17"/>
      <c r="AD82" s="17">
        <v>0</v>
      </c>
      <c r="AE82" s="17"/>
      <c r="AF82" s="17">
        <f t="shared" si="14"/>
        <v>0</v>
      </c>
      <c r="AG82" s="17"/>
      <c r="AH82" s="17">
        <v>0</v>
      </c>
      <c r="AI82" s="17"/>
      <c r="AJ82" s="17">
        <v>0</v>
      </c>
      <c r="AK82" s="17"/>
      <c r="AL82" s="17">
        <v>0</v>
      </c>
      <c r="AM82" s="17"/>
      <c r="AN82" s="17">
        <v>0</v>
      </c>
      <c r="AO82" s="17"/>
      <c r="AP82" s="17">
        <f t="shared" si="15"/>
        <v>0</v>
      </c>
      <c r="AQ82" s="17"/>
      <c r="AR82" s="17">
        <v>0</v>
      </c>
      <c r="AS82" s="17"/>
      <c r="AT82" s="17">
        <v>0</v>
      </c>
      <c r="AU82" s="17"/>
      <c r="AV82" s="17">
        <f t="shared" si="16"/>
        <v>0</v>
      </c>
      <c r="AW82" s="17"/>
      <c r="AX82" s="4" t="s">
        <v>70</v>
      </c>
      <c r="AY82" s="17"/>
      <c r="AZ82" s="17">
        <v>0</v>
      </c>
      <c r="BA82" s="17"/>
      <c r="BB82" s="17">
        <v>0</v>
      </c>
      <c r="BC82" s="17"/>
      <c r="BD82" s="17">
        <v>0</v>
      </c>
      <c r="BE82" s="17"/>
      <c r="BF82" s="17">
        <v>0</v>
      </c>
      <c r="BG82" s="17"/>
      <c r="BH82" s="17"/>
      <c r="BI82" s="17"/>
      <c r="BJ82" s="1">
        <f t="shared" si="17"/>
        <v>0</v>
      </c>
    </row>
    <row r="83" spans="1:62" s="18" customFormat="1" ht="12" hidden="1">
      <c r="A83" s="4" t="s">
        <v>71</v>
      </c>
      <c r="B83" s="4"/>
      <c r="C83" s="17">
        <f t="shared" si="12"/>
        <v>0</v>
      </c>
      <c r="D83" s="17"/>
      <c r="E83" s="17">
        <v>0</v>
      </c>
      <c r="F83" s="17"/>
      <c r="G83" s="17">
        <v>0</v>
      </c>
      <c r="H83" s="17"/>
      <c r="I83" s="17">
        <f t="shared" si="18"/>
        <v>0</v>
      </c>
      <c r="J83" s="17"/>
      <c r="K83" s="17">
        <f t="shared" si="19"/>
        <v>0</v>
      </c>
      <c r="L83" s="17"/>
      <c r="M83" s="17">
        <v>0</v>
      </c>
      <c r="N83" s="17"/>
      <c r="O83" s="17">
        <v>0</v>
      </c>
      <c r="P83" s="17"/>
      <c r="Q83" s="17">
        <v>0</v>
      </c>
      <c r="R83" s="17"/>
      <c r="S83" s="17">
        <v>0</v>
      </c>
      <c r="T83" s="17"/>
      <c r="U83" s="17">
        <f t="shared" si="13"/>
        <v>0</v>
      </c>
      <c r="V83" s="17">
        <f t="shared" si="20"/>
        <v>0</v>
      </c>
      <c r="W83" s="17"/>
      <c r="X83" s="4" t="s">
        <v>71</v>
      </c>
      <c r="Y83" s="17"/>
      <c r="Z83" s="17">
        <v>0</v>
      </c>
      <c r="AA83" s="17"/>
      <c r="AB83" s="17">
        <v>0</v>
      </c>
      <c r="AC83" s="17"/>
      <c r="AD83" s="17">
        <v>0</v>
      </c>
      <c r="AE83" s="17"/>
      <c r="AF83" s="17">
        <f t="shared" si="14"/>
        <v>0</v>
      </c>
      <c r="AG83" s="17"/>
      <c r="AH83" s="17">
        <v>0</v>
      </c>
      <c r="AI83" s="17"/>
      <c r="AJ83" s="17">
        <v>0</v>
      </c>
      <c r="AK83" s="17"/>
      <c r="AL83" s="17">
        <v>0</v>
      </c>
      <c r="AM83" s="17"/>
      <c r="AN83" s="17">
        <v>0</v>
      </c>
      <c r="AO83" s="17"/>
      <c r="AP83" s="17">
        <f t="shared" si="15"/>
        <v>0</v>
      </c>
      <c r="AQ83" s="17"/>
      <c r="AR83" s="17">
        <v>0</v>
      </c>
      <c r="AS83" s="17"/>
      <c r="AT83" s="17">
        <v>0</v>
      </c>
      <c r="AU83" s="17"/>
      <c r="AV83" s="17">
        <f t="shared" si="16"/>
        <v>0</v>
      </c>
      <c r="AW83" s="17"/>
      <c r="AX83" s="4" t="s">
        <v>71</v>
      </c>
      <c r="AY83" s="17"/>
      <c r="AZ83" s="17">
        <v>0</v>
      </c>
      <c r="BA83" s="17"/>
      <c r="BB83" s="17">
        <v>0</v>
      </c>
      <c r="BC83" s="17"/>
      <c r="BD83" s="17">
        <v>0</v>
      </c>
      <c r="BE83" s="17"/>
      <c r="BF83" s="17">
        <v>0</v>
      </c>
      <c r="BG83" s="17"/>
      <c r="BH83" s="17"/>
      <c r="BI83" s="17"/>
      <c r="BJ83" s="1">
        <f t="shared" si="17"/>
        <v>0</v>
      </c>
    </row>
    <row r="84" spans="1:62" s="18" customFormat="1" ht="12" hidden="1">
      <c r="A84" s="4" t="s">
        <v>72</v>
      </c>
      <c r="B84" s="4"/>
      <c r="C84" s="17">
        <f t="shared" si="12"/>
        <v>0</v>
      </c>
      <c r="D84" s="17"/>
      <c r="E84" s="17">
        <v>0</v>
      </c>
      <c r="F84" s="17"/>
      <c r="G84" s="17">
        <v>0</v>
      </c>
      <c r="H84" s="17"/>
      <c r="I84" s="17">
        <f t="shared" si="18"/>
        <v>0</v>
      </c>
      <c r="J84" s="17"/>
      <c r="K84" s="17">
        <f t="shared" si="19"/>
        <v>0</v>
      </c>
      <c r="L84" s="17"/>
      <c r="M84" s="17">
        <v>0</v>
      </c>
      <c r="N84" s="17"/>
      <c r="O84" s="17">
        <v>0</v>
      </c>
      <c r="P84" s="17"/>
      <c r="Q84" s="17">
        <v>0</v>
      </c>
      <c r="R84" s="17"/>
      <c r="S84" s="17">
        <v>0</v>
      </c>
      <c r="T84" s="17"/>
      <c r="U84" s="17">
        <f t="shared" si="13"/>
        <v>0</v>
      </c>
      <c r="V84" s="17">
        <f t="shared" si="20"/>
        <v>0</v>
      </c>
      <c r="W84" s="17"/>
      <c r="X84" s="4" t="s">
        <v>72</v>
      </c>
      <c r="Y84" s="17"/>
      <c r="Z84" s="17">
        <v>0</v>
      </c>
      <c r="AA84" s="17"/>
      <c r="AB84" s="17">
        <v>0</v>
      </c>
      <c r="AC84" s="17"/>
      <c r="AD84" s="17">
        <v>0</v>
      </c>
      <c r="AE84" s="17"/>
      <c r="AF84" s="17">
        <f t="shared" si="14"/>
        <v>0</v>
      </c>
      <c r="AG84" s="17"/>
      <c r="AH84" s="17">
        <v>0</v>
      </c>
      <c r="AI84" s="17"/>
      <c r="AJ84" s="17">
        <v>0</v>
      </c>
      <c r="AK84" s="17"/>
      <c r="AL84" s="17">
        <v>0</v>
      </c>
      <c r="AM84" s="17"/>
      <c r="AN84" s="17">
        <v>0</v>
      </c>
      <c r="AO84" s="17"/>
      <c r="AP84" s="17">
        <f t="shared" si="15"/>
        <v>0</v>
      </c>
      <c r="AQ84" s="17"/>
      <c r="AR84" s="17">
        <v>0</v>
      </c>
      <c r="AS84" s="17"/>
      <c r="AT84" s="17">
        <v>0</v>
      </c>
      <c r="AU84" s="17"/>
      <c r="AV84" s="17">
        <f t="shared" si="16"/>
        <v>0</v>
      </c>
      <c r="AW84" s="17"/>
      <c r="AX84" s="4" t="s">
        <v>72</v>
      </c>
      <c r="AY84" s="17"/>
      <c r="AZ84" s="17">
        <v>0</v>
      </c>
      <c r="BA84" s="17"/>
      <c r="BB84" s="17">
        <v>0</v>
      </c>
      <c r="BC84" s="17"/>
      <c r="BD84" s="17">
        <v>0</v>
      </c>
      <c r="BE84" s="17"/>
      <c r="BF84" s="17">
        <v>0</v>
      </c>
      <c r="BG84" s="17"/>
      <c r="BH84" s="17"/>
      <c r="BI84" s="17"/>
      <c r="BJ84" s="1">
        <f t="shared" si="17"/>
        <v>0</v>
      </c>
    </row>
    <row r="85" spans="1:62" s="18" customFormat="1" ht="12" hidden="1">
      <c r="A85" s="4" t="s">
        <v>73</v>
      </c>
      <c r="B85" s="4"/>
      <c r="C85" s="17">
        <f t="shared" si="12"/>
        <v>0</v>
      </c>
      <c r="D85" s="17"/>
      <c r="E85" s="17"/>
      <c r="F85" s="17"/>
      <c r="G85" s="17"/>
      <c r="H85" s="17"/>
      <c r="I85" s="17">
        <f t="shared" si="18"/>
        <v>0</v>
      </c>
      <c r="J85" s="17"/>
      <c r="K85" s="17">
        <f t="shared" si="19"/>
        <v>0</v>
      </c>
      <c r="L85" s="17"/>
      <c r="M85" s="17"/>
      <c r="N85" s="17"/>
      <c r="O85" s="17"/>
      <c r="P85" s="17"/>
      <c r="Q85" s="17"/>
      <c r="R85" s="17"/>
      <c r="S85" s="17"/>
      <c r="T85" s="17"/>
      <c r="U85" s="17">
        <f t="shared" si="13"/>
        <v>0</v>
      </c>
      <c r="V85" s="17">
        <f t="shared" si="20"/>
        <v>0</v>
      </c>
      <c r="W85" s="17"/>
      <c r="X85" s="4" t="s">
        <v>73</v>
      </c>
      <c r="Y85" s="17"/>
      <c r="Z85" s="17"/>
      <c r="AA85" s="17"/>
      <c r="AB85" s="17"/>
      <c r="AC85" s="17"/>
      <c r="AD85" s="17"/>
      <c r="AE85" s="17"/>
      <c r="AF85" s="17">
        <f t="shared" si="14"/>
        <v>0</v>
      </c>
      <c r="AG85" s="17"/>
      <c r="AH85" s="17"/>
      <c r="AI85" s="17"/>
      <c r="AJ85" s="17"/>
      <c r="AK85" s="17"/>
      <c r="AL85" s="17"/>
      <c r="AM85" s="17"/>
      <c r="AN85" s="17"/>
      <c r="AO85" s="17"/>
      <c r="AP85" s="17">
        <f t="shared" si="15"/>
        <v>0</v>
      </c>
      <c r="AQ85" s="17"/>
      <c r="AR85" s="17">
        <v>0</v>
      </c>
      <c r="AS85" s="17"/>
      <c r="AT85" s="17">
        <v>0</v>
      </c>
      <c r="AU85" s="17"/>
      <c r="AV85" s="17">
        <f t="shared" si="16"/>
        <v>0</v>
      </c>
      <c r="AW85" s="17"/>
      <c r="AX85" s="4" t="s">
        <v>73</v>
      </c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">
        <f t="shared" si="17"/>
        <v>0</v>
      </c>
    </row>
    <row r="86" spans="1:62" s="18" customFormat="1" ht="12">
      <c r="A86" s="4" t="s">
        <v>74</v>
      </c>
      <c r="B86" s="4"/>
      <c r="C86" s="17">
        <f t="shared" si="12"/>
        <v>2847522</v>
      </c>
      <c r="D86" s="17"/>
      <c r="E86" s="17">
        <v>0</v>
      </c>
      <c r="F86" s="17"/>
      <c r="G86" s="17">
        <v>2847522</v>
      </c>
      <c r="H86" s="17"/>
      <c r="I86" s="17">
        <f t="shared" si="18"/>
        <v>156401</v>
      </c>
      <c r="J86" s="17"/>
      <c r="K86" s="17">
        <f t="shared" si="19"/>
        <v>766806</v>
      </c>
      <c r="L86" s="17"/>
      <c r="M86" s="17">
        <v>923207</v>
      </c>
      <c r="N86" s="17"/>
      <c r="O86" s="17">
        <v>0</v>
      </c>
      <c r="P86" s="17"/>
      <c r="Q86" s="17">
        <v>0</v>
      </c>
      <c r="R86" s="17"/>
      <c r="S86" s="17">
        <v>1924315</v>
      </c>
      <c r="T86" s="17"/>
      <c r="U86" s="17">
        <f t="shared" si="13"/>
        <v>1924315</v>
      </c>
      <c r="V86" s="17">
        <f t="shared" si="20"/>
        <v>0</v>
      </c>
      <c r="W86" s="17"/>
      <c r="X86" s="4" t="s">
        <v>74</v>
      </c>
      <c r="Y86" s="17"/>
      <c r="Z86" s="17">
        <v>594458</v>
      </c>
      <c r="AA86" s="17"/>
      <c r="AB86" s="17">
        <f>1241724-238132</f>
        <v>1003592</v>
      </c>
      <c r="AC86" s="17"/>
      <c r="AD86" s="17">
        <v>238132</v>
      </c>
      <c r="AE86" s="17"/>
      <c r="AF86" s="17">
        <f t="shared" si="14"/>
        <v>-647266</v>
      </c>
      <c r="AG86" s="17"/>
      <c r="AH86" s="17">
        <v>-21699</v>
      </c>
      <c r="AI86" s="17"/>
      <c r="AJ86" s="17">
        <v>0</v>
      </c>
      <c r="AK86" s="17"/>
      <c r="AL86" s="17">
        <v>7178741</v>
      </c>
      <c r="AM86" s="17"/>
      <c r="AN86" s="17">
        <v>625990</v>
      </c>
      <c r="AO86" s="17"/>
      <c r="AP86" s="17">
        <f t="shared" si="15"/>
        <v>-7221716</v>
      </c>
      <c r="AQ86" s="17"/>
      <c r="AR86" s="17">
        <v>0</v>
      </c>
      <c r="AS86" s="17"/>
      <c r="AT86" s="17">
        <v>0</v>
      </c>
      <c r="AU86" s="17"/>
      <c r="AV86" s="17">
        <f t="shared" si="16"/>
        <v>2691121</v>
      </c>
      <c r="AW86" s="17"/>
      <c r="AX86" s="4" t="s">
        <v>74</v>
      </c>
      <c r="AY86" s="17"/>
      <c r="AZ86" s="17">
        <v>56987</v>
      </c>
      <c r="BA86" s="17"/>
      <c r="BB86" s="17">
        <v>0</v>
      </c>
      <c r="BC86" s="17"/>
      <c r="BD86" s="17">
        <f>299219+28623</f>
        <v>327842</v>
      </c>
      <c r="BE86" s="17"/>
      <c r="BF86" s="17">
        <v>381977</v>
      </c>
      <c r="BG86" s="17"/>
      <c r="BH86" s="17"/>
      <c r="BI86" s="17"/>
      <c r="BJ86" s="1">
        <f t="shared" si="17"/>
        <v>766806</v>
      </c>
    </row>
    <row r="87" spans="1:62" s="18" customFormat="1" ht="12">
      <c r="A87" s="4" t="s">
        <v>75</v>
      </c>
      <c r="B87" s="4"/>
      <c r="C87" s="17">
        <f t="shared" si="12"/>
        <v>2556327</v>
      </c>
      <c r="D87" s="17"/>
      <c r="E87" s="17">
        <v>15522532</v>
      </c>
      <c r="F87" s="17"/>
      <c r="G87" s="17">
        <v>18078859</v>
      </c>
      <c r="H87" s="17"/>
      <c r="I87" s="17">
        <f t="shared" si="18"/>
        <v>208767</v>
      </c>
      <c r="J87" s="17"/>
      <c r="K87" s="17">
        <f t="shared" si="19"/>
        <v>702821</v>
      </c>
      <c r="L87" s="17"/>
      <c r="M87" s="17">
        <v>911588</v>
      </c>
      <c r="N87" s="17"/>
      <c r="O87" s="17">
        <v>14795955</v>
      </c>
      <c r="P87" s="17"/>
      <c r="Q87" s="17">
        <v>0</v>
      </c>
      <c r="R87" s="17"/>
      <c r="S87" s="17">
        <v>2371316</v>
      </c>
      <c r="T87" s="17"/>
      <c r="U87" s="17">
        <f t="shared" si="13"/>
        <v>17167271</v>
      </c>
      <c r="V87" s="17">
        <f t="shared" si="20"/>
        <v>0</v>
      </c>
      <c r="W87" s="17"/>
      <c r="X87" s="4" t="s">
        <v>75</v>
      </c>
      <c r="Y87" s="17"/>
      <c r="Z87" s="17">
        <v>3555080</v>
      </c>
      <c r="AA87" s="17"/>
      <c r="AB87" s="17">
        <f>2380976-1061497</f>
        <v>1319479</v>
      </c>
      <c r="AC87" s="17"/>
      <c r="AD87" s="17">
        <v>1061497</v>
      </c>
      <c r="AE87" s="17"/>
      <c r="AF87" s="17">
        <f t="shared" si="14"/>
        <v>1174104</v>
      </c>
      <c r="AG87" s="17"/>
      <c r="AH87" s="17">
        <v>11398</v>
      </c>
      <c r="AI87" s="17"/>
      <c r="AJ87" s="17">
        <v>906262</v>
      </c>
      <c r="AK87" s="17"/>
      <c r="AL87" s="17">
        <v>969813</v>
      </c>
      <c r="AM87" s="17"/>
      <c r="AN87" s="17">
        <v>57910</v>
      </c>
      <c r="AO87" s="17"/>
      <c r="AP87" s="17">
        <f t="shared" si="15"/>
        <v>1179861</v>
      </c>
      <c r="AQ87" s="17"/>
      <c r="AR87" s="17">
        <v>0</v>
      </c>
      <c r="AS87" s="17"/>
      <c r="AT87" s="17">
        <v>0</v>
      </c>
      <c r="AU87" s="17"/>
      <c r="AV87" s="17">
        <f t="shared" si="16"/>
        <v>2347560</v>
      </c>
      <c r="AW87" s="17"/>
      <c r="AX87" s="4" t="s">
        <v>75</v>
      </c>
      <c r="AY87" s="17"/>
      <c r="AZ87" s="17">
        <v>119215</v>
      </c>
      <c r="BA87" s="17"/>
      <c r="BB87" s="17">
        <v>0</v>
      </c>
      <c r="BC87" s="17"/>
      <c r="BD87" s="17">
        <v>549821</v>
      </c>
      <c r="BE87" s="17"/>
      <c r="BF87" s="17">
        <v>33785</v>
      </c>
      <c r="BG87" s="17"/>
      <c r="BH87" s="17"/>
      <c r="BI87" s="17"/>
      <c r="BJ87" s="1">
        <f t="shared" si="17"/>
        <v>702821</v>
      </c>
    </row>
    <row r="88" spans="1:62" s="18" customFormat="1" ht="12">
      <c r="A88" s="4" t="s">
        <v>76</v>
      </c>
      <c r="B88" s="4"/>
      <c r="C88" s="17">
        <f t="shared" si="12"/>
        <v>1424120</v>
      </c>
      <c r="D88" s="17"/>
      <c r="E88" s="17">
        <v>4649578</v>
      </c>
      <c r="F88" s="17"/>
      <c r="G88" s="17">
        <v>6073698</v>
      </c>
      <c r="H88" s="17"/>
      <c r="I88" s="17">
        <f t="shared" si="18"/>
        <v>137982</v>
      </c>
      <c r="J88" s="17"/>
      <c r="K88" s="17">
        <f t="shared" si="19"/>
        <v>1447722</v>
      </c>
      <c r="L88" s="17"/>
      <c r="M88" s="17">
        <v>1585704</v>
      </c>
      <c r="N88" s="17"/>
      <c r="O88" s="17">
        <v>3460356</v>
      </c>
      <c r="P88" s="17"/>
      <c r="Q88" s="17">
        <v>0</v>
      </c>
      <c r="R88" s="17"/>
      <c r="S88" s="17">
        <v>1027806</v>
      </c>
      <c r="T88" s="17"/>
      <c r="U88" s="17">
        <f t="shared" si="13"/>
        <v>4488162</v>
      </c>
      <c r="V88" s="17">
        <f t="shared" si="20"/>
        <v>-168</v>
      </c>
      <c r="W88" s="17"/>
      <c r="X88" s="4" t="s">
        <v>76</v>
      </c>
      <c r="Y88" s="17"/>
      <c r="Z88" s="17">
        <v>677654</v>
      </c>
      <c r="AA88" s="17"/>
      <c r="AB88" s="17">
        <f>785332-164445</f>
        <v>620887</v>
      </c>
      <c r="AC88" s="17"/>
      <c r="AD88" s="17">
        <v>164445</v>
      </c>
      <c r="AE88" s="17"/>
      <c r="AF88" s="17">
        <f t="shared" si="14"/>
        <v>-107678</v>
      </c>
      <c r="AG88" s="17"/>
      <c r="AH88" s="17">
        <v>474</v>
      </c>
      <c r="AI88" s="17"/>
      <c r="AJ88" s="17">
        <v>0</v>
      </c>
      <c r="AK88" s="17"/>
      <c r="AL88" s="17">
        <v>0</v>
      </c>
      <c r="AM88" s="17"/>
      <c r="AN88" s="17">
        <v>0</v>
      </c>
      <c r="AO88" s="17"/>
      <c r="AP88" s="17">
        <f t="shared" si="15"/>
        <v>-107204</v>
      </c>
      <c r="AQ88" s="17"/>
      <c r="AR88" s="17">
        <v>0</v>
      </c>
      <c r="AS88" s="17"/>
      <c r="AT88" s="17">
        <v>0</v>
      </c>
      <c r="AU88" s="17"/>
      <c r="AV88" s="17">
        <f t="shared" si="16"/>
        <v>1286138</v>
      </c>
      <c r="AW88" s="17"/>
      <c r="AX88" s="4" t="s">
        <v>76</v>
      </c>
      <c r="AY88" s="17"/>
      <c r="AZ88" s="17">
        <v>0</v>
      </c>
      <c r="BA88" s="17"/>
      <c r="BB88" s="17">
        <v>0</v>
      </c>
      <c r="BC88" s="17"/>
      <c r="BD88" s="17">
        <f>415951+688320</f>
        <v>1104271</v>
      </c>
      <c r="BE88" s="17"/>
      <c r="BF88" s="17">
        <f>5064+338387</f>
        <v>343451</v>
      </c>
      <c r="BG88" s="17"/>
      <c r="BH88" s="17"/>
      <c r="BI88" s="17"/>
      <c r="BJ88" s="1">
        <f t="shared" si="17"/>
        <v>1447722</v>
      </c>
    </row>
    <row r="89" spans="1:62" s="18" customFormat="1" ht="12">
      <c r="A89" s="4" t="s">
        <v>77</v>
      </c>
      <c r="B89" s="4"/>
      <c r="C89" s="17">
        <f t="shared" si="12"/>
        <v>1634894</v>
      </c>
      <c r="D89" s="17"/>
      <c r="E89" s="17">
        <v>230963</v>
      </c>
      <c r="F89" s="17"/>
      <c r="G89" s="17">
        <v>1865857</v>
      </c>
      <c r="H89" s="17"/>
      <c r="I89" s="17">
        <f t="shared" si="18"/>
        <v>112383</v>
      </c>
      <c r="J89" s="17"/>
      <c r="K89" s="17">
        <f t="shared" si="19"/>
        <v>4660</v>
      </c>
      <c r="L89" s="17"/>
      <c r="M89" s="17">
        <v>117043</v>
      </c>
      <c r="N89" s="17"/>
      <c r="O89" s="17">
        <v>230963</v>
      </c>
      <c r="P89" s="17"/>
      <c r="Q89" s="17">
        <v>0</v>
      </c>
      <c r="R89" s="17"/>
      <c r="S89" s="17">
        <v>1517851</v>
      </c>
      <c r="T89" s="17"/>
      <c r="U89" s="17">
        <f t="shared" si="13"/>
        <v>1748814</v>
      </c>
      <c r="V89" s="17">
        <f t="shared" si="20"/>
        <v>0</v>
      </c>
      <c r="W89" s="17"/>
      <c r="X89" s="4" t="s">
        <v>77</v>
      </c>
      <c r="Y89" s="17"/>
      <c r="Z89" s="17">
        <v>1310502</v>
      </c>
      <c r="AA89" s="17"/>
      <c r="AB89" s="17">
        <f>1645063-36281</f>
        <v>1608782</v>
      </c>
      <c r="AC89" s="17"/>
      <c r="AD89" s="17">
        <v>36281</v>
      </c>
      <c r="AE89" s="17"/>
      <c r="AF89" s="17">
        <f t="shared" si="14"/>
        <v>-334561</v>
      </c>
      <c r="AG89" s="17"/>
      <c r="AH89" s="17">
        <f>-179093</f>
        <v>-179093</v>
      </c>
      <c r="AI89" s="17"/>
      <c r="AJ89" s="17">
        <v>0</v>
      </c>
      <c r="AK89" s="17"/>
      <c r="AL89" s="17">
        <v>0</v>
      </c>
      <c r="AM89" s="17"/>
      <c r="AN89" s="17">
        <v>0</v>
      </c>
      <c r="AO89" s="17"/>
      <c r="AP89" s="17">
        <f t="shared" si="15"/>
        <v>-513654</v>
      </c>
      <c r="AQ89" s="17"/>
      <c r="AR89" s="17">
        <v>0</v>
      </c>
      <c r="AS89" s="17"/>
      <c r="AT89" s="17">
        <v>0</v>
      </c>
      <c r="AU89" s="17"/>
      <c r="AV89" s="17">
        <f t="shared" si="16"/>
        <v>1522511</v>
      </c>
      <c r="AW89" s="17"/>
      <c r="AX89" s="4" t="s">
        <v>77</v>
      </c>
      <c r="AY89" s="17"/>
      <c r="AZ89" s="17">
        <v>0</v>
      </c>
      <c r="BA89" s="17"/>
      <c r="BB89" s="17">
        <v>0</v>
      </c>
      <c r="BC89" s="17"/>
      <c r="BD89" s="17">
        <v>0</v>
      </c>
      <c r="BE89" s="17"/>
      <c r="BF89" s="17">
        <v>4660</v>
      </c>
      <c r="BG89" s="17"/>
      <c r="BH89" s="17"/>
      <c r="BI89" s="17"/>
      <c r="BJ89" s="1">
        <f t="shared" si="17"/>
        <v>4660</v>
      </c>
    </row>
    <row r="90" spans="1:62" s="18" customFormat="1" ht="12" hidden="1">
      <c r="A90" s="4" t="s">
        <v>78</v>
      </c>
      <c r="B90" s="4"/>
      <c r="C90" s="17">
        <f t="shared" si="12"/>
        <v>0</v>
      </c>
      <c r="D90" s="17"/>
      <c r="E90" s="17"/>
      <c r="F90" s="17"/>
      <c r="G90" s="17"/>
      <c r="H90" s="17"/>
      <c r="I90" s="17">
        <f t="shared" si="18"/>
        <v>0</v>
      </c>
      <c r="J90" s="17"/>
      <c r="K90" s="17">
        <f t="shared" si="19"/>
        <v>0</v>
      </c>
      <c r="L90" s="17"/>
      <c r="M90" s="17"/>
      <c r="N90" s="17"/>
      <c r="O90" s="17"/>
      <c r="P90" s="17"/>
      <c r="Q90" s="17"/>
      <c r="R90" s="17"/>
      <c r="S90" s="17"/>
      <c r="T90" s="17"/>
      <c r="U90" s="17">
        <f t="shared" si="13"/>
        <v>0</v>
      </c>
      <c r="V90" s="17">
        <f t="shared" si="20"/>
        <v>0</v>
      </c>
      <c r="W90" s="17"/>
      <c r="X90" s="4" t="s">
        <v>78</v>
      </c>
      <c r="Y90" s="17"/>
      <c r="Z90" s="17"/>
      <c r="AA90" s="17"/>
      <c r="AB90" s="17"/>
      <c r="AC90" s="17"/>
      <c r="AD90" s="17"/>
      <c r="AE90" s="17"/>
      <c r="AF90" s="17">
        <f t="shared" si="14"/>
        <v>0</v>
      </c>
      <c r="AG90" s="17"/>
      <c r="AH90" s="17"/>
      <c r="AI90" s="17"/>
      <c r="AJ90" s="17"/>
      <c r="AK90" s="17"/>
      <c r="AL90" s="17"/>
      <c r="AM90" s="17"/>
      <c r="AN90" s="17"/>
      <c r="AO90" s="17"/>
      <c r="AP90" s="17">
        <f t="shared" si="15"/>
        <v>0</v>
      </c>
      <c r="AQ90" s="17"/>
      <c r="AR90" s="17">
        <v>0</v>
      </c>
      <c r="AS90" s="17"/>
      <c r="AT90" s="17">
        <v>0</v>
      </c>
      <c r="AU90" s="17"/>
      <c r="AV90" s="17">
        <f t="shared" si="16"/>
        <v>0</v>
      </c>
      <c r="AW90" s="17"/>
      <c r="AX90" s="4" t="s">
        <v>78</v>
      </c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">
        <f t="shared" si="17"/>
        <v>0</v>
      </c>
    </row>
    <row r="91" spans="1:62" s="18" customFormat="1" ht="12" hidden="1">
      <c r="A91" s="4" t="s">
        <v>79</v>
      </c>
      <c r="B91" s="4"/>
      <c r="C91" s="17">
        <f t="shared" si="12"/>
        <v>0</v>
      </c>
      <c r="D91" s="17"/>
      <c r="E91" s="17"/>
      <c r="F91" s="17"/>
      <c r="G91" s="17"/>
      <c r="H91" s="17"/>
      <c r="I91" s="17">
        <f t="shared" si="18"/>
        <v>0</v>
      </c>
      <c r="J91" s="17"/>
      <c r="K91" s="17">
        <f t="shared" si="19"/>
        <v>0</v>
      </c>
      <c r="L91" s="17"/>
      <c r="M91" s="17"/>
      <c r="N91" s="17"/>
      <c r="O91" s="17"/>
      <c r="P91" s="17"/>
      <c r="Q91" s="17"/>
      <c r="R91" s="17"/>
      <c r="S91" s="17"/>
      <c r="T91" s="17"/>
      <c r="U91" s="17">
        <f t="shared" si="13"/>
        <v>0</v>
      </c>
      <c r="V91" s="17">
        <f t="shared" si="20"/>
        <v>0</v>
      </c>
      <c r="W91" s="17"/>
      <c r="X91" s="4" t="s">
        <v>79</v>
      </c>
      <c r="Y91" s="17"/>
      <c r="Z91" s="17"/>
      <c r="AA91" s="17"/>
      <c r="AB91" s="17"/>
      <c r="AC91" s="17"/>
      <c r="AD91" s="17"/>
      <c r="AE91" s="17"/>
      <c r="AF91" s="17">
        <f t="shared" si="14"/>
        <v>0</v>
      </c>
      <c r="AG91" s="17"/>
      <c r="AH91" s="17"/>
      <c r="AI91" s="17"/>
      <c r="AJ91" s="17"/>
      <c r="AK91" s="17"/>
      <c r="AL91" s="17"/>
      <c r="AM91" s="17"/>
      <c r="AN91" s="17"/>
      <c r="AO91" s="17"/>
      <c r="AP91" s="17">
        <f t="shared" si="15"/>
        <v>0</v>
      </c>
      <c r="AQ91" s="17"/>
      <c r="AR91" s="17">
        <v>0</v>
      </c>
      <c r="AS91" s="17"/>
      <c r="AT91" s="17">
        <v>0</v>
      </c>
      <c r="AU91" s="17"/>
      <c r="AV91" s="17">
        <f t="shared" si="16"/>
        <v>0</v>
      </c>
      <c r="AW91" s="17"/>
      <c r="AX91" s="4" t="s">
        <v>79</v>
      </c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">
        <f t="shared" si="17"/>
        <v>0</v>
      </c>
    </row>
    <row r="92" spans="1:62" s="18" customFormat="1" ht="12">
      <c r="A92" s="4" t="s">
        <v>80</v>
      </c>
      <c r="B92" s="4"/>
      <c r="C92" s="17">
        <f t="shared" si="12"/>
        <v>25787024</v>
      </c>
      <c r="D92" s="17"/>
      <c r="E92" s="17">
        <v>87807024</v>
      </c>
      <c r="F92" s="17"/>
      <c r="G92" s="17">
        <v>113594048</v>
      </c>
      <c r="H92" s="17"/>
      <c r="I92" s="17">
        <f t="shared" si="18"/>
        <v>2913215</v>
      </c>
      <c r="J92" s="17"/>
      <c r="K92" s="17">
        <f t="shared" si="19"/>
        <v>13433416</v>
      </c>
      <c r="L92" s="17"/>
      <c r="M92" s="17">
        <v>16346631</v>
      </c>
      <c r="N92" s="17"/>
      <c r="O92" s="17">
        <v>66850700</v>
      </c>
      <c r="P92" s="17"/>
      <c r="Q92" s="17">
        <v>138196</v>
      </c>
      <c r="R92" s="17"/>
      <c r="S92" s="17">
        <v>30258521</v>
      </c>
      <c r="T92" s="17"/>
      <c r="U92" s="17">
        <f t="shared" si="13"/>
        <v>97247417</v>
      </c>
      <c r="V92" s="17">
        <f t="shared" si="20"/>
        <v>0</v>
      </c>
      <c r="W92" s="17"/>
      <c r="X92" s="4" t="s">
        <v>80</v>
      </c>
      <c r="Y92" s="17"/>
      <c r="Z92" s="17">
        <v>9224896</v>
      </c>
      <c r="AA92" s="17"/>
      <c r="AB92" s="17">
        <f>10191084-3065199</f>
        <v>7125885</v>
      </c>
      <c r="AC92" s="17"/>
      <c r="AD92" s="17">
        <v>3065199</v>
      </c>
      <c r="AE92" s="17"/>
      <c r="AF92" s="17">
        <f t="shared" si="14"/>
        <v>-966188</v>
      </c>
      <c r="AG92" s="17"/>
      <c r="AH92" s="17">
        <f>-323727</f>
        <v>-323727</v>
      </c>
      <c r="AI92" s="17"/>
      <c r="AJ92" s="17">
        <v>0</v>
      </c>
      <c r="AK92" s="17"/>
      <c r="AL92" s="17">
        <v>0</v>
      </c>
      <c r="AM92" s="17"/>
      <c r="AN92" s="17">
        <f>4236843+5966155</f>
        <v>10202998</v>
      </c>
      <c r="AO92" s="17"/>
      <c r="AP92" s="17">
        <f t="shared" si="15"/>
        <v>8913083</v>
      </c>
      <c r="AQ92" s="17"/>
      <c r="AR92" s="17">
        <v>0</v>
      </c>
      <c r="AS92" s="17"/>
      <c r="AT92" s="17">
        <v>0</v>
      </c>
      <c r="AU92" s="17"/>
      <c r="AV92" s="17">
        <f t="shared" si="16"/>
        <v>22873809</v>
      </c>
      <c r="AW92" s="17"/>
      <c r="AX92" s="4" t="s">
        <v>80</v>
      </c>
      <c r="AY92" s="17"/>
      <c r="AZ92" s="17">
        <v>0</v>
      </c>
      <c r="BA92" s="17"/>
      <c r="BB92" s="17">
        <v>11415049</v>
      </c>
      <c r="BC92" s="17"/>
      <c r="BD92" s="17">
        <v>1691066</v>
      </c>
      <c r="BE92" s="17"/>
      <c r="BF92" s="17">
        <f>130694+196607</f>
        <v>327301</v>
      </c>
      <c r="BG92" s="17"/>
      <c r="BH92" s="17"/>
      <c r="BI92" s="17"/>
      <c r="BJ92" s="1">
        <f t="shared" si="17"/>
        <v>13433416</v>
      </c>
    </row>
    <row r="93" spans="1:62" s="18" customFormat="1" ht="12" hidden="1">
      <c r="A93" s="4" t="s">
        <v>81</v>
      </c>
      <c r="B93" s="4"/>
      <c r="C93" s="17">
        <f t="shared" si="12"/>
        <v>0</v>
      </c>
      <c r="D93" s="17"/>
      <c r="E93" s="17">
        <v>0</v>
      </c>
      <c r="F93" s="17"/>
      <c r="G93" s="17">
        <v>0</v>
      </c>
      <c r="H93" s="17"/>
      <c r="I93" s="17">
        <f>+M93-K93</f>
        <v>0</v>
      </c>
      <c r="J93" s="17"/>
      <c r="K93" s="17">
        <f t="shared" si="19"/>
        <v>0</v>
      </c>
      <c r="L93" s="17"/>
      <c r="M93" s="17">
        <v>0</v>
      </c>
      <c r="N93" s="17"/>
      <c r="O93" s="17">
        <v>0</v>
      </c>
      <c r="P93" s="17"/>
      <c r="Q93" s="17">
        <v>0</v>
      </c>
      <c r="R93" s="17"/>
      <c r="S93" s="17">
        <v>0</v>
      </c>
      <c r="T93" s="17"/>
      <c r="U93" s="17">
        <f t="shared" si="13"/>
        <v>0</v>
      </c>
      <c r="V93" s="17">
        <f t="shared" si="20"/>
        <v>0</v>
      </c>
      <c r="W93" s="17"/>
      <c r="X93" s="4" t="s">
        <v>81</v>
      </c>
      <c r="Y93" s="17"/>
      <c r="Z93" s="17">
        <v>0</v>
      </c>
      <c r="AA93" s="17"/>
      <c r="AB93" s="17">
        <v>0</v>
      </c>
      <c r="AC93" s="17"/>
      <c r="AD93" s="17">
        <v>0</v>
      </c>
      <c r="AE93" s="17"/>
      <c r="AF93" s="17">
        <f t="shared" si="14"/>
        <v>0</v>
      </c>
      <c r="AG93" s="17"/>
      <c r="AH93" s="17">
        <v>0</v>
      </c>
      <c r="AI93" s="17"/>
      <c r="AJ93" s="17">
        <v>0</v>
      </c>
      <c r="AK93" s="17"/>
      <c r="AL93" s="17">
        <v>0</v>
      </c>
      <c r="AM93" s="17"/>
      <c r="AN93" s="17">
        <v>0</v>
      </c>
      <c r="AO93" s="17"/>
      <c r="AP93" s="17">
        <f t="shared" si="15"/>
        <v>0</v>
      </c>
      <c r="AQ93" s="17"/>
      <c r="AR93" s="17">
        <v>0</v>
      </c>
      <c r="AS93" s="17"/>
      <c r="AT93" s="17">
        <v>0</v>
      </c>
      <c r="AU93" s="17"/>
      <c r="AV93" s="17">
        <f t="shared" si="16"/>
        <v>0</v>
      </c>
      <c r="AW93" s="17"/>
      <c r="AX93" s="4" t="s">
        <v>81</v>
      </c>
      <c r="AY93" s="17"/>
      <c r="AZ93" s="17">
        <v>0</v>
      </c>
      <c r="BA93" s="17"/>
      <c r="BB93" s="17">
        <v>0</v>
      </c>
      <c r="BC93" s="17"/>
      <c r="BD93" s="17">
        <v>0</v>
      </c>
      <c r="BE93" s="17"/>
      <c r="BF93" s="17">
        <v>0</v>
      </c>
      <c r="BG93" s="17"/>
      <c r="BH93" s="17"/>
      <c r="BI93" s="17"/>
      <c r="BJ93" s="1">
        <f t="shared" si="17"/>
        <v>0</v>
      </c>
    </row>
    <row r="94" spans="1:62" s="18" customFormat="1" ht="12" hidden="1">
      <c r="A94" s="4" t="s">
        <v>136</v>
      </c>
      <c r="B94" s="4"/>
      <c r="C94" s="17">
        <f t="shared" si="12"/>
        <v>0</v>
      </c>
      <c r="D94" s="17"/>
      <c r="E94" s="17">
        <v>0</v>
      </c>
      <c r="F94" s="17"/>
      <c r="G94" s="17">
        <v>0</v>
      </c>
      <c r="H94" s="17"/>
      <c r="I94" s="17">
        <f>+M94-K94</f>
        <v>0</v>
      </c>
      <c r="J94" s="17"/>
      <c r="K94" s="17">
        <f t="shared" si="19"/>
        <v>0</v>
      </c>
      <c r="L94" s="17"/>
      <c r="M94" s="17">
        <v>0</v>
      </c>
      <c r="N94" s="17"/>
      <c r="O94" s="17">
        <v>0</v>
      </c>
      <c r="P94" s="17"/>
      <c r="Q94" s="17">
        <v>0</v>
      </c>
      <c r="R94" s="17"/>
      <c r="S94" s="17">
        <v>0</v>
      </c>
      <c r="T94" s="17"/>
      <c r="U94" s="17">
        <f t="shared" si="13"/>
        <v>0</v>
      </c>
      <c r="V94" s="17">
        <f t="shared" si="20"/>
        <v>0</v>
      </c>
      <c r="W94" s="17"/>
      <c r="X94" s="4" t="s">
        <v>136</v>
      </c>
      <c r="Y94" s="17"/>
      <c r="Z94" s="17">
        <v>0</v>
      </c>
      <c r="AA94" s="17"/>
      <c r="AB94" s="17">
        <v>0</v>
      </c>
      <c r="AC94" s="17"/>
      <c r="AD94" s="17">
        <v>0</v>
      </c>
      <c r="AE94" s="17"/>
      <c r="AF94" s="17">
        <f t="shared" si="14"/>
        <v>0</v>
      </c>
      <c r="AG94" s="17"/>
      <c r="AH94" s="17">
        <v>0</v>
      </c>
      <c r="AI94" s="17"/>
      <c r="AJ94" s="17">
        <v>0</v>
      </c>
      <c r="AK94" s="17"/>
      <c r="AL94" s="17">
        <v>0</v>
      </c>
      <c r="AM94" s="17"/>
      <c r="AN94" s="17">
        <v>0</v>
      </c>
      <c r="AO94" s="17"/>
      <c r="AP94" s="17">
        <f t="shared" si="15"/>
        <v>0</v>
      </c>
      <c r="AQ94" s="17"/>
      <c r="AR94" s="17">
        <v>0</v>
      </c>
      <c r="AS94" s="17"/>
      <c r="AT94" s="17">
        <v>0</v>
      </c>
      <c r="AU94" s="17"/>
      <c r="AV94" s="17">
        <f t="shared" si="16"/>
        <v>0</v>
      </c>
      <c r="AW94" s="17"/>
      <c r="AX94" s="4" t="s">
        <v>136</v>
      </c>
      <c r="AY94" s="17"/>
      <c r="AZ94" s="17">
        <v>0</v>
      </c>
      <c r="BA94" s="17"/>
      <c r="BB94" s="17">
        <v>0</v>
      </c>
      <c r="BC94" s="17"/>
      <c r="BD94" s="17">
        <v>0</v>
      </c>
      <c r="BE94" s="17"/>
      <c r="BF94" s="17">
        <v>0</v>
      </c>
      <c r="BG94" s="17"/>
      <c r="BH94" s="17"/>
      <c r="BI94" s="17"/>
      <c r="BJ94" s="1">
        <f t="shared" si="17"/>
        <v>0</v>
      </c>
    </row>
    <row r="95" spans="1:62" s="18" customFormat="1" ht="12" hidden="1">
      <c r="A95" s="4" t="s">
        <v>174</v>
      </c>
      <c r="B95" s="4"/>
      <c r="C95" s="17">
        <f t="shared" si="12"/>
        <v>0</v>
      </c>
      <c r="D95" s="17"/>
      <c r="E95" s="17">
        <v>0</v>
      </c>
      <c r="F95" s="17"/>
      <c r="G95" s="17">
        <v>0</v>
      </c>
      <c r="H95" s="17"/>
      <c r="I95" s="17">
        <f>+M95-K95</f>
        <v>0</v>
      </c>
      <c r="J95" s="17"/>
      <c r="K95" s="17">
        <f t="shared" si="19"/>
        <v>0</v>
      </c>
      <c r="L95" s="17"/>
      <c r="M95" s="17">
        <v>0</v>
      </c>
      <c r="N95" s="17"/>
      <c r="O95" s="17">
        <v>0</v>
      </c>
      <c r="P95" s="17"/>
      <c r="Q95" s="17">
        <v>0</v>
      </c>
      <c r="R95" s="17"/>
      <c r="S95" s="17">
        <v>0</v>
      </c>
      <c r="T95" s="17"/>
      <c r="U95" s="17">
        <f t="shared" si="13"/>
        <v>0</v>
      </c>
      <c r="V95" s="17">
        <f t="shared" si="20"/>
        <v>0</v>
      </c>
      <c r="W95" s="17"/>
      <c r="X95" s="4" t="s">
        <v>174</v>
      </c>
      <c r="Y95" s="17"/>
      <c r="Z95" s="17">
        <v>0</v>
      </c>
      <c r="AA95" s="17"/>
      <c r="AB95" s="17">
        <v>0</v>
      </c>
      <c r="AC95" s="17"/>
      <c r="AD95" s="17">
        <v>0</v>
      </c>
      <c r="AE95" s="17"/>
      <c r="AF95" s="17">
        <f t="shared" si="14"/>
        <v>0</v>
      </c>
      <c r="AG95" s="17"/>
      <c r="AH95" s="17">
        <v>0</v>
      </c>
      <c r="AI95" s="17"/>
      <c r="AJ95" s="17">
        <v>0</v>
      </c>
      <c r="AK95" s="17"/>
      <c r="AL95" s="17">
        <v>0</v>
      </c>
      <c r="AM95" s="17"/>
      <c r="AN95" s="17">
        <v>0</v>
      </c>
      <c r="AO95" s="17"/>
      <c r="AP95" s="17">
        <f t="shared" si="15"/>
        <v>0</v>
      </c>
      <c r="AQ95" s="17"/>
      <c r="AR95" s="17">
        <v>0</v>
      </c>
      <c r="AS95" s="17"/>
      <c r="AT95" s="17">
        <v>0</v>
      </c>
      <c r="AU95" s="17"/>
      <c r="AV95" s="17">
        <f t="shared" si="16"/>
        <v>0</v>
      </c>
      <c r="AW95" s="17"/>
      <c r="AX95" s="4" t="s">
        <v>174</v>
      </c>
      <c r="AY95" s="17"/>
      <c r="AZ95" s="17">
        <v>0</v>
      </c>
      <c r="BA95" s="17"/>
      <c r="BB95" s="17">
        <v>0</v>
      </c>
      <c r="BC95" s="17"/>
      <c r="BD95" s="17">
        <v>0</v>
      </c>
      <c r="BE95" s="17"/>
      <c r="BF95" s="17">
        <v>0</v>
      </c>
      <c r="BG95" s="17"/>
      <c r="BH95" s="17"/>
      <c r="BI95" s="17"/>
      <c r="BJ95" s="1">
        <f t="shared" si="17"/>
        <v>0</v>
      </c>
    </row>
    <row r="96" spans="1:62" s="18" customFormat="1" ht="12" hidden="1">
      <c r="A96" s="4" t="s">
        <v>83</v>
      </c>
      <c r="B96" s="4"/>
      <c r="C96" s="17">
        <f t="shared" si="12"/>
        <v>0</v>
      </c>
      <c r="D96" s="17"/>
      <c r="E96" s="17">
        <v>0</v>
      </c>
      <c r="F96" s="17"/>
      <c r="G96" s="17">
        <v>0</v>
      </c>
      <c r="H96" s="17"/>
      <c r="I96" s="17">
        <f>+M96-K96</f>
        <v>0</v>
      </c>
      <c r="J96" s="17"/>
      <c r="K96" s="17">
        <f t="shared" si="19"/>
        <v>0</v>
      </c>
      <c r="L96" s="17"/>
      <c r="M96" s="17">
        <v>0</v>
      </c>
      <c r="N96" s="17"/>
      <c r="O96" s="17">
        <v>0</v>
      </c>
      <c r="P96" s="17"/>
      <c r="Q96" s="17">
        <v>0</v>
      </c>
      <c r="R96" s="17"/>
      <c r="S96" s="17">
        <v>0</v>
      </c>
      <c r="T96" s="17"/>
      <c r="U96" s="17">
        <f t="shared" si="13"/>
        <v>0</v>
      </c>
      <c r="V96" s="17">
        <f t="shared" si="20"/>
        <v>0</v>
      </c>
      <c r="W96" s="17"/>
      <c r="X96" s="4" t="s">
        <v>83</v>
      </c>
      <c r="Y96" s="17"/>
      <c r="Z96" s="17">
        <v>0</v>
      </c>
      <c r="AA96" s="17"/>
      <c r="AB96" s="17">
        <v>0</v>
      </c>
      <c r="AC96" s="17"/>
      <c r="AD96" s="17">
        <v>0</v>
      </c>
      <c r="AE96" s="17"/>
      <c r="AF96" s="17">
        <f t="shared" si="14"/>
        <v>0</v>
      </c>
      <c r="AG96" s="17"/>
      <c r="AH96" s="17">
        <v>0</v>
      </c>
      <c r="AI96" s="17"/>
      <c r="AJ96" s="17">
        <v>0</v>
      </c>
      <c r="AK96" s="17"/>
      <c r="AL96" s="17">
        <v>0</v>
      </c>
      <c r="AM96" s="17"/>
      <c r="AN96" s="17">
        <v>0</v>
      </c>
      <c r="AO96" s="17"/>
      <c r="AP96" s="17">
        <f t="shared" si="15"/>
        <v>0</v>
      </c>
      <c r="AQ96" s="17"/>
      <c r="AR96" s="17">
        <v>0</v>
      </c>
      <c r="AS96" s="17"/>
      <c r="AT96" s="17">
        <v>0</v>
      </c>
      <c r="AU96" s="17"/>
      <c r="AV96" s="17">
        <f t="shared" si="16"/>
        <v>0</v>
      </c>
      <c r="AW96" s="17"/>
      <c r="AX96" s="4" t="s">
        <v>83</v>
      </c>
      <c r="AY96" s="17"/>
      <c r="AZ96" s="17">
        <v>0</v>
      </c>
      <c r="BA96" s="17"/>
      <c r="BB96" s="17">
        <v>0</v>
      </c>
      <c r="BC96" s="17"/>
      <c r="BD96" s="17">
        <v>0</v>
      </c>
      <c r="BE96" s="17"/>
      <c r="BF96" s="17">
        <v>0</v>
      </c>
      <c r="BG96" s="17"/>
      <c r="BH96" s="17"/>
      <c r="BI96" s="17"/>
      <c r="BJ96" s="1">
        <f t="shared" si="17"/>
        <v>0</v>
      </c>
    </row>
    <row r="97" spans="1:62" s="18" customFormat="1" ht="12" hidden="1">
      <c r="A97" s="4" t="s">
        <v>175</v>
      </c>
      <c r="B97" s="4"/>
      <c r="C97" s="17">
        <v>0</v>
      </c>
      <c r="D97" s="17"/>
      <c r="E97" s="17"/>
      <c r="F97" s="17"/>
      <c r="G97" s="17"/>
      <c r="H97" s="17"/>
      <c r="I97" s="17">
        <v>0</v>
      </c>
      <c r="J97" s="17"/>
      <c r="K97" s="17">
        <v>0</v>
      </c>
      <c r="L97" s="17"/>
      <c r="M97" s="17"/>
      <c r="N97" s="17"/>
      <c r="O97" s="17"/>
      <c r="P97" s="17"/>
      <c r="Q97" s="17"/>
      <c r="R97" s="17"/>
      <c r="S97" s="17"/>
      <c r="T97" s="17"/>
      <c r="U97" s="17">
        <v>0</v>
      </c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>
        <v>0</v>
      </c>
      <c r="AG97" s="17"/>
      <c r="AH97" s="17"/>
      <c r="AI97" s="17"/>
      <c r="AJ97" s="17"/>
      <c r="AK97" s="17"/>
      <c r="AL97" s="17"/>
      <c r="AM97" s="17"/>
      <c r="AN97" s="17"/>
      <c r="AO97" s="17"/>
      <c r="AP97" s="17">
        <v>0</v>
      </c>
      <c r="AQ97" s="17"/>
      <c r="AR97" s="17">
        <v>0</v>
      </c>
      <c r="AS97" s="17"/>
      <c r="AT97" s="17">
        <v>0</v>
      </c>
      <c r="AU97" s="17"/>
      <c r="AV97" s="17">
        <v>0</v>
      </c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">
        <f>SUM(AZ97:BF97)+BH97</f>
        <v>0</v>
      </c>
    </row>
    <row r="98" spans="1:39" s="18" customFormat="1" ht="12">
      <c r="A98" s="4"/>
      <c r="B98" s="4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52"/>
      <c r="AC98" s="52"/>
      <c r="AD98" s="52"/>
      <c r="AE98" s="52"/>
      <c r="AF98" s="64"/>
      <c r="AG98" s="64"/>
      <c r="AH98" s="64"/>
      <c r="AI98" s="64"/>
      <c r="AJ98" s="64"/>
      <c r="AK98" s="64"/>
      <c r="AL98" s="64"/>
      <c r="AM98" s="64"/>
    </row>
    <row r="99" spans="1:39" s="18" customFormat="1" ht="12">
      <c r="A99" s="4"/>
      <c r="B99" s="4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52"/>
      <c r="AC99" s="52"/>
      <c r="AD99" s="52"/>
      <c r="AE99" s="52"/>
      <c r="AF99" s="64"/>
      <c r="AG99" s="64"/>
      <c r="AH99" s="64"/>
      <c r="AI99" s="64"/>
      <c r="AJ99" s="64"/>
      <c r="AK99" s="64"/>
      <c r="AL99" s="64"/>
      <c r="AM99" s="64"/>
    </row>
    <row r="100" spans="3:31" ht="12.75"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>
        <f>SUM(Z13:Z99)</f>
        <v>165956294</v>
      </c>
      <c r="AA100" s="53"/>
      <c r="AB100" s="71"/>
      <c r="AC100" s="71"/>
      <c r="AD100" s="71">
        <f>SUM(AB13:AD99)</f>
        <v>155311552</v>
      </c>
      <c r="AE100" s="71"/>
    </row>
    <row r="101" spans="3:31" ht="12.75"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71"/>
      <c r="AC101" s="71"/>
      <c r="AD101" s="71"/>
      <c r="AE101" s="71"/>
    </row>
    <row r="102" spans="3:31" ht="12.75"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71"/>
      <c r="AC102" s="71"/>
      <c r="AD102" s="71"/>
      <c r="AE102" s="71"/>
    </row>
    <row r="103" spans="3:31" ht="12.75"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71"/>
      <c r="AC103" s="71"/>
      <c r="AD103" s="71"/>
      <c r="AE103" s="71"/>
    </row>
    <row r="104" spans="3:31" ht="12.75"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71"/>
      <c r="AC104" s="71"/>
      <c r="AD104" s="71"/>
      <c r="AE104" s="71"/>
    </row>
    <row r="105" spans="3:31" ht="12.75"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71"/>
      <c r="AC105" s="71"/>
      <c r="AD105" s="71"/>
      <c r="AE105" s="71"/>
    </row>
    <row r="106" spans="3:31" ht="12.75"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71"/>
      <c r="AC106" s="71"/>
      <c r="AD106" s="71"/>
      <c r="AE106" s="71"/>
    </row>
    <row r="107" spans="3:31" ht="12.75"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71"/>
      <c r="AC107" s="71"/>
      <c r="AD107" s="71"/>
      <c r="AE107" s="71"/>
    </row>
    <row r="108" spans="3:31" ht="12.75"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71"/>
      <c r="AC108" s="71"/>
      <c r="AD108" s="71"/>
      <c r="AE108" s="71"/>
    </row>
    <row r="109" spans="3:31" ht="12.75"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71"/>
      <c r="AC109" s="71"/>
      <c r="AD109" s="71"/>
      <c r="AE109" s="71"/>
    </row>
    <row r="110" spans="3:31" ht="12.75"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71"/>
      <c r="AC110" s="71"/>
      <c r="AD110" s="71"/>
      <c r="AE110" s="71"/>
    </row>
    <row r="111" spans="3:31" ht="12.75"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71"/>
      <c r="AC111" s="71"/>
      <c r="AD111" s="71"/>
      <c r="AE111" s="71"/>
    </row>
    <row r="112" spans="3:31" ht="12.75"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71"/>
      <c r="AC112" s="71"/>
      <c r="AD112" s="71"/>
      <c r="AE112" s="71"/>
    </row>
    <row r="113" spans="3:31" ht="12.75"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71"/>
      <c r="AC113" s="71"/>
      <c r="AD113" s="71"/>
      <c r="AE113" s="71"/>
    </row>
    <row r="114" spans="3:31" ht="12.75"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71"/>
      <c r="AC114" s="71"/>
      <c r="AD114" s="71"/>
      <c r="AE114" s="71"/>
    </row>
    <row r="115" spans="3:31" ht="12.75"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71"/>
      <c r="AC115" s="71"/>
      <c r="AD115" s="71"/>
      <c r="AE115" s="71"/>
    </row>
  </sheetData>
  <printOptions/>
  <pageMargins left="0.75" right="0.75" top="0.5" bottom="0.5" header="0" footer="0.25"/>
  <pageSetup firstPageNumber="40" useFirstPageNumber="1" horizontalDpi="600" verticalDpi="600" orientation="portrait" r:id="rId1"/>
  <headerFooter alignWithMargins="0">
    <oddFooter>&amp;C&amp;"Times New Roman,Regular"&amp;11&amp;P</oddFooter>
  </headerFooter>
  <colBreaks count="2" manualBreakCount="2">
    <brk id="21" max="97" man="1"/>
    <brk id="49" max="9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W131"/>
  <sheetViews>
    <sheetView zoomScaleSheetLayoutView="75" workbookViewId="0" topLeftCell="A1">
      <selection activeCell="A2" sqref="A2"/>
    </sheetView>
  </sheetViews>
  <sheetFormatPr defaultColWidth="9.140625" defaultRowHeight="12.75"/>
  <cols>
    <col min="1" max="1" width="18.00390625" style="96" customWidth="1"/>
    <col min="2" max="2" width="1.7109375" style="96" customWidth="1"/>
    <col min="3" max="3" width="12.7109375" style="96" customWidth="1"/>
    <col min="4" max="4" width="1.7109375" style="96" customWidth="1"/>
    <col min="5" max="5" width="12.7109375" style="96" customWidth="1"/>
    <col min="6" max="6" width="1.7109375" style="96" customWidth="1"/>
    <col min="7" max="7" width="12.7109375" style="96" customWidth="1"/>
    <col min="8" max="8" width="1.7109375" style="96" customWidth="1"/>
    <col min="9" max="9" width="12.7109375" style="96" customWidth="1"/>
    <col min="10" max="10" width="1.7109375" style="96" customWidth="1"/>
    <col min="11" max="11" width="12.7109375" style="96" customWidth="1"/>
    <col min="12" max="12" width="1.7109375" style="96" customWidth="1"/>
    <col min="13" max="13" width="12.7109375" style="96" customWidth="1"/>
    <col min="14" max="14" width="1.7109375" style="96" customWidth="1"/>
    <col min="15" max="15" width="12.7109375" style="96" customWidth="1"/>
    <col min="16" max="16" width="1.7109375" style="96" customWidth="1"/>
    <col min="17" max="17" width="12.7109375" style="96" customWidth="1"/>
    <col min="18" max="18" width="1.7109375" style="96" customWidth="1"/>
    <col min="19" max="19" width="12.7109375" style="96" customWidth="1"/>
    <col min="20" max="20" width="1.7109375" style="96" customWidth="1"/>
    <col min="21" max="21" width="12.7109375" style="96" customWidth="1"/>
    <col min="22" max="22" width="1.7109375" style="96" customWidth="1"/>
    <col min="23" max="23" width="11.7109375" style="96" hidden="1" customWidth="1"/>
    <col min="24" max="24" width="1.7109375" style="96" hidden="1" customWidth="1"/>
    <col min="25" max="25" width="15.7109375" style="96" customWidth="1"/>
    <col min="26" max="26" width="1.7109375" style="96" customWidth="1"/>
    <col min="27" max="27" width="12.7109375" style="96" customWidth="1"/>
    <col min="28" max="28" width="1.7109375" style="96" customWidth="1"/>
    <col min="29" max="29" width="12.7109375" style="96" customWidth="1"/>
    <col min="30" max="30" width="1.7109375" style="96" customWidth="1"/>
    <col min="31" max="31" width="12.7109375" style="96" customWidth="1"/>
    <col min="32" max="32" width="1.7109375" style="96" customWidth="1"/>
    <col min="33" max="33" width="12.7109375" style="96" customWidth="1"/>
    <col min="34" max="34" width="1.7109375" style="99" customWidth="1"/>
    <col min="35" max="35" width="12.7109375" style="99" customWidth="1"/>
    <col min="36" max="36" width="1.7109375" style="99" customWidth="1"/>
    <col min="37" max="37" width="12.7109375" style="99" customWidth="1"/>
    <col min="38" max="38" width="1.7109375" style="99" customWidth="1"/>
    <col min="39" max="39" width="12.7109375" style="99" customWidth="1"/>
    <col min="40" max="40" width="1.7109375" style="99" customWidth="1"/>
    <col min="41" max="41" width="12.7109375" style="69" customWidth="1"/>
    <col min="42" max="42" width="1.7109375" style="69" customWidth="1"/>
    <col min="43" max="43" width="12.7109375" style="96" customWidth="1"/>
    <col min="44" max="44" width="1.7109375" style="69" hidden="1" customWidth="1"/>
    <col min="45" max="45" width="10.7109375" style="69" hidden="1" customWidth="1"/>
    <col min="46" max="46" width="1.7109375" style="69" hidden="1" customWidth="1"/>
    <col min="47" max="47" width="10.7109375" style="69" hidden="1" customWidth="1"/>
    <col min="48" max="48" width="1.7109375" style="69" customWidth="1"/>
    <col min="49" max="49" width="12.7109375" style="96" customWidth="1"/>
    <col min="50" max="50" width="1.7109375" style="69" customWidth="1"/>
    <col min="51" max="51" width="15.7109375" style="96" customWidth="1"/>
    <col min="52" max="52" width="1.7109375" style="69" customWidth="1"/>
    <col min="53" max="53" width="12.7109375" style="69" customWidth="1"/>
    <col min="54" max="54" width="1.7109375" style="69" customWidth="1"/>
    <col min="55" max="55" width="12.7109375" style="69" customWidth="1"/>
    <col min="56" max="56" width="1.7109375" style="69" customWidth="1"/>
    <col min="57" max="57" width="12.7109375" style="69" customWidth="1"/>
    <col min="58" max="58" width="1.7109375" style="69" customWidth="1"/>
    <col min="59" max="59" width="12.7109375" style="69" customWidth="1"/>
    <col min="60" max="60" width="1.7109375" style="69" customWidth="1"/>
    <col min="61" max="61" width="10.7109375" style="69" hidden="1" customWidth="1"/>
    <col min="62" max="62" width="1.7109375" style="69" hidden="1" customWidth="1"/>
    <col min="63" max="63" width="12.7109375" style="96" customWidth="1"/>
    <col min="64" max="64" width="9.28125" style="69" bestFit="1" customWidth="1"/>
    <col min="65" max="16384" width="8.421875" style="69" customWidth="1"/>
  </cols>
  <sheetData>
    <row r="1" spans="1:65" s="93" customFormat="1" ht="12.75">
      <c r="A1" s="90" t="s">
        <v>200</v>
      </c>
      <c r="B1" s="9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 t="s">
        <v>208</v>
      </c>
      <c r="Z1" s="89"/>
      <c r="AA1" s="89"/>
      <c r="AB1" s="89"/>
      <c r="AC1" s="72"/>
      <c r="AD1" s="72"/>
      <c r="AE1" s="72"/>
      <c r="AF1" s="72"/>
      <c r="AG1" s="89"/>
      <c r="AH1" s="72"/>
      <c r="AI1" s="72"/>
      <c r="AJ1" s="72"/>
      <c r="AK1" s="72"/>
      <c r="AL1" s="72"/>
      <c r="AM1" s="72"/>
      <c r="AN1" s="72"/>
      <c r="AO1" s="92"/>
      <c r="AP1" s="92"/>
      <c r="AQ1" s="89"/>
      <c r="AR1" s="92"/>
      <c r="AS1" s="92"/>
      <c r="AT1" s="92"/>
      <c r="AU1" s="92"/>
      <c r="AV1" s="92"/>
      <c r="AW1" s="89"/>
      <c r="AX1" s="92"/>
      <c r="AY1" s="90" t="s">
        <v>200</v>
      </c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89"/>
      <c r="BL1" s="92"/>
      <c r="BM1" s="92"/>
    </row>
    <row r="2" spans="1:65" s="93" customFormat="1" ht="12.75">
      <c r="A2" s="43" t="s">
        <v>262</v>
      </c>
      <c r="B2" s="90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43" t="s">
        <v>207</v>
      </c>
      <c r="Z2" s="89"/>
      <c r="AA2" s="89"/>
      <c r="AB2" s="89"/>
      <c r="AC2" s="72"/>
      <c r="AD2" s="72"/>
      <c r="AE2" s="72"/>
      <c r="AF2" s="72"/>
      <c r="AG2" s="89"/>
      <c r="AH2" s="72"/>
      <c r="AI2" s="72"/>
      <c r="AJ2" s="72"/>
      <c r="AK2" s="72"/>
      <c r="AL2" s="72"/>
      <c r="AM2" s="72"/>
      <c r="AN2" s="72"/>
      <c r="AO2" s="92"/>
      <c r="AP2" s="92"/>
      <c r="AQ2" s="89"/>
      <c r="AR2" s="92"/>
      <c r="AS2" s="92"/>
      <c r="AT2" s="92"/>
      <c r="AU2" s="92"/>
      <c r="AV2" s="92"/>
      <c r="AW2" s="89"/>
      <c r="AX2" s="92"/>
      <c r="AY2" s="90" t="s">
        <v>102</v>
      </c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89"/>
      <c r="BL2" s="92"/>
      <c r="BM2" s="92"/>
    </row>
    <row r="3" spans="1:64" s="93" customFormat="1" ht="12.75">
      <c r="A3" s="43" t="s">
        <v>263</v>
      </c>
      <c r="B3" s="90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43" t="s">
        <v>246</v>
      </c>
      <c r="Z3" s="89"/>
      <c r="AA3" s="89"/>
      <c r="AB3" s="89"/>
      <c r="AC3" s="72"/>
      <c r="AD3" s="72"/>
      <c r="AE3" s="72"/>
      <c r="AF3" s="72"/>
      <c r="AG3" s="89"/>
      <c r="AH3" s="72"/>
      <c r="AI3" s="72"/>
      <c r="AJ3" s="72"/>
      <c r="AK3" s="72"/>
      <c r="AL3" s="72"/>
      <c r="AM3" s="72"/>
      <c r="AN3" s="72"/>
      <c r="AO3" s="92"/>
      <c r="AP3" s="92"/>
      <c r="AQ3" s="89"/>
      <c r="AR3" s="92"/>
      <c r="AS3" s="92"/>
      <c r="AT3" s="92"/>
      <c r="AU3" s="92"/>
      <c r="AV3" s="92"/>
      <c r="AW3" s="89"/>
      <c r="AX3" s="92"/>
      <c r="AY3" s="43" t="s">
        <v>245</v>
      </c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89"/>
      <c r="BL3" s="92"/>
    </row>
    <row r="4" spans="1:64" ht="12.75">
      <c r="A4" s="36" t="s">
        <v>187</v>
      </c>
      <c r="B4" s="9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43" t="s">
        <v>187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36" t="s">
        <v>187</v>
      </c>
      <c r="AZ4" s="9"/>
      <c r="BJ4" s="30"/>
      <c r="BK4" s="9"/>
      <c r="BL4" s="65"/>
    </row>
    <row r="5" spans="1:64" ht="12" customHeight="1">
      <c r="A5" s="36"/>
      <c r="B5" s="9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9" t="s">
        <v>138</v>
      </c>
      <c r="P5" s="29"/>
      <c r="Q5" s="29"/>
      <c r="R5" s="29"/>
      <c r="S5" s="29"/>
      <c r="T5" s="29"/>
      <c r="U5" s="29"/>
      <c r="V5" s="9"/>
      <c r="W5" s="9"/>
      <c r="X5" s="9"/>
      <c r="Y5" s="36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36"/>
      <c r="AZ5" s="9"/>
      <c r="BA5" s="29" t="s">
        <v>102</v>
      </c>
      <c r="BB5" s="29"/>
      <c r="BC5" s="29"/>
      <c r="BD5" s="29"/>
      <c r="BE5" s="29"/>
      <c r="BF5" s="29"/>
      <c r="BG5" s="29"/>
      <c r="BH5" s="30"/>
      <c r="BI5" s="30"/>
      <c r="BJ5" s="30"/>
      <c r="BK5" s="9"/>
      <c r="BL5" s="65"/>
    </row>
    <row r="6" spans="1:64" ht="12" customHeight="1">
      <c r="A6" s="95"/>
      <c r="B6" s="9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U6" s="9" t="s">
        <v>4</v>
      </c>
      <c r="V6" s="91" t="s">
        <v>197</v>
      </c>
      <c r="W6" s="30"/>
      <c r="X6" s="30"/>
      <c r="Y6" s="95"/>
      <c r="Z6" s="30"/>
      <c r="AA6" s="9"/>
      <c r="AB6" s="9"/>
      <c r="AC6" s="9"/>
      <c r="AD6" s="9"/>
      <c r="AE6" s="9"/>
      <c r="AF6" s="9"/>
      <c r="AG6" s="9"/>
      <c r="AH6" s="9"/>
      <c r="AI6" s="9" t="s">
        <v>158</v>
      </c>
      <c r="AJ6" s="9"/>
      <c r="AK6" s="9"/>
      <c r="AL6" s="9"/>
      <c r="AM6" s="9"/>
      <c r="AN6" s="9"/>
      <c r="AO6" s="9"/>
      <c r="AP6" s="9"/>
      <c r="AQ6" s="9"/>
      <c r="AR6" s="9"/>
      <c r="AS6" s="9" t="s">
        <v>155</v>
      </c>
      <c r="AT6" s="9"/>
      <c r="AU6" s="9" t="s">
        <v>155</v>
      </c>
      <c r="AV6" s="9"/>
      <c r="AW6" s="9"/>
      <c r="AX6" s="9"/>
      <c r="AY6" s="95"/>
      <c r="AZ6" s="9"/>
      <c r="BA6" s="9" t="s">
        <v>103</v>
      </c>
      <c r="BB6" s="9"/>
      <c r="BC6" s="9" t="s">
        <v>104</v>
      </c>
      <c r="BD6" s="9"/>
      <c r="BE6" s="9"/>
      <c r="BF6" s="9"/>
      <c r="BG6" s="9" t="s">
        <v>105</v>
      </c>
      <c r="BH6" s="9"/>
      <c r="BI6" s="9" t="s">
        <v>194</v>
      </c>
      <c r="BJ6" s="9"/>
      <c r="BK6" s="9" t="s">
        <v>4</v>
      </c>
      <c r="BL6" s="65"/>
    </row>
    <row r="7" spans="1:64" ht="12" customHeight="1">
      <c r="A7" s="95"/>
      <c r="B7" s="95"/>
      <c r="C7" s="9" t="s">
        <v>135</v>
      </c>
      <c r="D7" s="9"/>
      <c r="E7" s="9" t="s">
        <v>156</v>
      </c>
      <c r="F7" s="9"/>
      <c r="G7" s="9" t="s">
        <v>4</v>
      </c>
      <c r="H7" s="9"/>
      <c r="I7" s="9" t="s">
        <v>135</v>
      </c>
      <c r="J7" s="9"/>
      <c r="K7" s="9" t="s">
        <v>156</v>
      </c>
      <c r="L7" s="9"/>
      <c r="M7" s="9" t="s">
        <v>4</v>
      </c>
      <c r="N7" s="9"/>
      <c r="O7" s="9" t="s">
        <v>139</v>
      </c>
      <c r="P7" s="9"/>
      <c r="Q7" s="9"/>
      <c r="R7" s="9"/>
      <c r="S7" s="9"/>
      <c r="T7" s="9"/>
      <c r="U7" s="9" t="s">
        <v>240</v>
      </c>
      <c r="V7" s="9"/>
      <c r="W7" s="9"/>
      <c r="X7" s="9"/>
      <c r="Y7" s="95"/>
      <c r="Z7" s="9"/>
      <c r="AA7" s="9" t="s">
        <v>101</v>
      </c>
      <c r="AB7" s="9"/>
      <c r="AC7" s="9" t="s">
        <v>157</v>
      </c>
      <c r="AD7" s="9"/>
      <c r="AE7" s="9"/>
      <c r="AF7" s="9"/>
      <c r="AG7" s="9" t="s">
        <v>101</v>
      </c>
      <c r="AH7" s="9"/>
      <c r="AI7" s="9" t="s">
        <v>12</v>
      </c>
      <c r="AJ7" s="9"/>
      <c r="AK7" s="9"/>
      <c r="AL7" s="9"/>
      <c r="AM7" s="9"/>
      <c r="AN7" s="9"/>
      <c r="AO7" s="9" t="s">
        <v>87</v>
      </c>
      <c r="AP7" s="9"/>
      <c r="AQ7" s="9" t="s">
        <v>239</v>
      </c>
      <c r="AR7" s="9"/>
      <c r="AS7" s="9" t="s">
        <v>159</v>
      </c>
      <c r="AT7" s="9"/>
      <c r="AU7" s="9" t="s">
        <v>159</v>
      </c>
      <c r="AV7" s="9"/>
      <c r="AW7" s="9" t="s">
        <v>106</v>
      </c>
      <c r="AX7" s="9"/>
      <c r="AY7" s="95"/>
      <c r="AZ7" s="9"/>
      <c r="BA7" s="9" t="s">
        <v>107</v>
      </c>
      <c r="BB7" s="9"/>
      <c r="BC7" s="9" t="s">
        <v>12</v>
      </c>
      <c r="BD7" s="9"/>
      <c r="BE7" s="9"/>
      <c r="BF7" s="9"/>
      <c r="BG7" s="9" t="s">
        <v>108</v>
      </c>
      <c r="BH7" s="9"/>
      <c r="BI7" s="9" t="s">
        <v>195</v>
      </c>
      <c r="BJ7" s="9"/>
      <c r="BK7" s="9" t="s">
        <v>108</v>
      </c>
      <c r="BL7" s="65"/>
    </row>
    <row r="8" spans="1:64" ht="12" customHeight="1">
      <c r="A8" s="97" t="s">
        <v>5</v>
      </c>
      <c r="B8" s="65"/>
      <c r="C8" s="40" t="s">
        <v>116</v>
      </c>
      <c r="D8" s="65"/>
      <c r="E8" s="40" t="s">
        <v>116</v>
      </c>
      <c r="F8" s="65"/>
      <c r="G8" s="40" t="s">
        <v>116</v>
      </c>
      <c r="H8" s="65"/>
      <c r="I8" s="40" t="s">
        <v>122</v>
      </c>
      <c r="J8" s="65"/>
      <c r="K8" s="40" t="s">
        <v>122</v>
      </c>
      <c r="L8" s="65"/>
      <c r="M8" s="40" t="s">
        <v>122</v>
      </c>
      <c r="N8" s="65"/>
      <c r="O8" s="40" t="s">
        <v>141</v>
      </c>
      <c r="P8" s="65"/>
      <c r="Q8" s="40" t="s">
        <v>142</v>
      </c>
      <c r="R8" s="65"/>
      <c r="S8" s="40" t="s">
        <v>143</v>
      </c>
      <c r="T8" s="65"/>
      <c r="U8" s="40" t="s">
        <v>116</v>
      </c>
      <c r="V8" s="65"/>
      <c r="W8" s="40"/>
      <c r="X8" s="40"/>
      <c r="Y8" s="97" t="s">
        <v>5</v>
      </c>
      <c r="Z8" s="65"/>
      <c r="AA8" s="40" t="s">
        <v>12</v>
      </c>
      <c r="AB8" s="65"/>
      <c r="AC8" s="40" t="s">
        <v>109</v>
      </c>
      <c r="AD8" s="65"/>
      <c r="AE8" s="40" t="s">
        <v>109</v>
      </c>
      <c r="AF8" s="65"/>
      <c r="AG8" s="40" t="s">
        <v>110</v>
      </c>
      <c r="AH8" s="65"/>
      <c r="AI8" s="40" t="s">
        <v>238</v>
      </c>
      <c r="AJ8" s="65"/>
      <c r="AK8" s="40" t="s">
        <v>111</v>
      </c>
      <c r="AL8" s="65"/>
      <c r="AM8" s="40" t="s">
        <v>112</v>
      </c>
      <c r="AN8" s="65"/>
      <c r="AO8" s="40" t="s">
        <v>161</v>
      </c>
      <c r="AP8" s="65"/>
      <c r="AQ8" s="40" t="s">
        <v>138</v>
      </c>
      <c r="AR8" s="65"/>
      <c r="AS8" s="40" t="s">
        <v>162</v>
      </c>
      <c r="AT8" s="65"/>
      <c r="AU8" s="40" t="s">
        <v>163</v>
      </c>
      <c r="AV8" s="65"/>
      <c r="AW8" s="40" t="s">
        <v>87</v>
      </c>
      <c r="AX8" s="65"/>
      <c r="AY8" s="97" t="s">
        <v>5</v>
      </c>
      <c r="AZ8" s="65"/>
      <c r="BA8" s="40" t="s">
        <v>113</v>
      </c>
      <c r="BB8" s="65"/>
      <c r="BC8" s="40" t="s">
        <v>113</v>
      </c>
      <c r="BD8" s="65"/>
      <c r="BE8" s="40" t="s">
        <v>114</v>
      </c>
      <c r="BF8" s="65"/>
      <c r="BG8" s="40" t="s">
        <v>115</v>
      </c>
      <c r="BH8" s="65"/>
      <c r="BI8" s="40" t="s">
        <v>196</v>
      </c>
      <c r="BJ8" s="40"/>
      <c r="BK8" s="40" t="s">
        <v>122</v>
      </c>
      <c r="BL8" s="65"/>
    </row>
    <row r="9" spans="1:73" ht="12" customHeight="1" hidden="1">
      <c r="A9" s="77" t="s">
        <v>251</v>
      </c>
      <c r="B9" s="65"/>
      <c r="C9" s="60">
        <f>+G9-E9</f>
        <v>0</v>
      </c>
      <c r="D9" s="60"/>
      <c r="E9" s="60">
        <v>0</v>
      </c>
      <c r="F9" s="60"/>
      <c r="G9" s="60">
        <v>0</v>
      </c>
      <c r="H9" s="60"/>
      <c r="I9" s="60">
        <f>M9-K9</f>
        <v>0</v>
      </c>
      <c r="J9" s="60"/>
      <c r="K9" s="60">
        <f>SUM(BK9)</f>
        <v>0</v>
      </c>
      <c r="L9" s="60"/>
      <c r="M9" s="60">
        <v>0</v>
      </c>
      <c r="N9" s="60"/>
      <c r="O9" s="60">
        <v>0</v>
      </c>
      <c r="P9" s="60"/>
      <c r="Q9" s="60">
        <v>0</v>
      </c>
      <c r="R9" s="60"/>
      <c r="S9" s="60">
        <v>0</v>
      </c>
      <c r="T9" s="60"/>
      <c r="U9" s="60">
        <f>SUM(O9:S9)</f>
        <v>0</v>
      </c>
      <c r="V9" s="17"/>
      <c r="W9" s="17"/>
      <c r="X9" s="17"/>
      <c r="Y9" s="63" t="s">
        <v>251</v>
      </c>
      <c r="Z9" s="17"/>
      <c r="AA9" s="60">
        <v>0</v>
      </c>
      <c r="AB9" s="1"/>
      <c r="AC9" s="60">
        <v>0</v>
      </c>
      <c r="AD9" s="1"/>
      <c r="AE9" s="60">
        <v>0</v>
      </c>
      <c r="AF9" s="1"/>
      <c r="AG9" s="60">
        <f>+AA9-AC9-AE9</f>
        <v>0</v>
      </c>
      <c r="AH9" s="21"/>
      <c r="AI9" s="60">
        <v>0</v>
      </c>
      <c r="AJ9" s="21"/>
      <c r="AK9" s="60">
        <v>0</v>
      </c>
      <c r="AL9" s="1"/>
      <c r="AM9" s="60">
        <v>0</v>
      </c>
      <c r="AN9" s="1"/>
      <c r="AO9" s="60">
        <v>0</v>
      </c>
      <c r="AP9" s="1"/>
      <c r="AQ9" s="60">
        <f>+AO9+AK9-AM9+AI9+AG9</f>
        <v>0</v>
      </c>
      <c r="AR9" s="21"/>
      <c r="AS9" s="1"/>
      <c r="AT9" s="1"/>
      <c r="AU9" s="1"/>
      <c r="AV9" s="1"/>
      <c r="AW9" s="60">
        <f>+C9-I9</f>
        <v>0</v>
      </c>
      <c r="AX9" s="17"/>
      <c r="AY9" s="63" t="s">
        <v>251</v>
      </c>
      <c r="AZ9" s="17"/>
      <c r="BA9" s="60">
        <v>0</v>
      </c>
      <c r="BB9" s="1"/>
      <c r="BC9" s="60">
        <v>0</v>
      </c>
      <c r="BD9" s="1"/>
      <c r="BE9" s="60">
        <v>0</v>
      </c>
      <c r="BF9" s="1"/>
      <c r="BG9" s="60">
        <v>0</v>
      </c>
      <c r="BH9" s="1"/>
      <c r="BI9" s="1"/>
      <c r="BJ9" s="1"/>
      <c r="BK9" s="60">
        <f>SUM(BA9:BI9)</f>
        <v>0</v>
      </c>
      <c r="BL9" s="60"/>
      <c r="BM9" s="60"/>
      <c r="BN9" s="60"/>
      <c r="BO9" s="60"/>
      <c r="BP9" s="60"/>
      <c r="BQ9" s="60"/>
      <c r="BR9" s="60"/>
      <c r="BS9" s="60"/>
      <c r="BT9" s="60"/>
      <c r="BU9" s="60"/>
    </row>
    <row r="10" spans="1:64" ht="12" customHeight="1">
      <c r="A10" s="63" t="s">
        <v>13</v>
      </c>
      <c r="B10" s="63"/>
      <c r="C10" s="60">
        <f>+G10-E10</f>
        <v>4003274</v>
      </c>
      <c r="D10" s="60"/>
      <c r="E10" s="60">
        <v>33014460</v>
      </c>
      <c r="F10" s="60"/>
      <c r="G10" s="60">
        <v>37017734</v>
      </c>
      <c r="H10" s="60"/>
      <c r="I10" s="60">
        <f>M10-K10</f>
        <v>2945280</v>
      </c>
      <c r="J10" s="60"/>
      <c r="K10" s="60">
        <f>SUM(BK10)</f>
        <v>6110853</v>
      </c>
      <c r="L10" s="60"/>
      <c r="M10" s="60">
        <v>9056133</v>
      </c>
      <c r="N10" s="60"/>
      <c r="O10" s="60">
        <v>26219029</v>
      </c>
      <c r="P10" s="60"/>
      <c r="Q10" s="60">
        <v>1298129</v>
      </c>
      <c r="R10" s="60"/>
      <c r="S10" s="60">
        <v>444443</v>
      </c>
      <c r="T10" s="60"/>
      <c r="U10" s="60">
        <f>SUM(O10:S10)</f>
        <v>27961601</v>
      </c>
      <c r="V10" s="17"/>
      <c r="W10" s="17">
        <f>+G10-M10-U10</f>
        <v>0</v>
      </c>
      <c r="X10" s="17"/>
      <c r="Y10" s="63" t="s">
        <v>13</v>
      </c>
      <c r="Z10" s="17"/>
      <c r="AA10" s="60">
        <v>4877802</v>
      </c>
      <c r="AB10" s="1"/>
      <c r="AC10" s="60">
        <f>5062647-1529180</f>
        <v>3533467</v>
      </c>
      <c r="AD10" s="1"/>
      <c r="AE10" s="60">
        <v>1529180</v>
      </c>
      <c r="AF10" s="1"/>
      <c r="AG10" s="60">
        <f>+AA10-AC10-AE10</f>
        <v>-184845</v>
      </c>
      <c r="AH10" s="21"/>
      <c r="AI10" s="60">
        <v>-255778</v>
      </c>
      <c r="AJ10" s="21"/>
      <c r="AK10" s="60">
        <v>0</v>
      </c>
      <c r="AL10" s="1"/>
      <c r="AM10" s="60">
        <v>115688</v>
      </c>
      <c r="AN10" s="1"/>
      <c r="AO10" s="60">
        <v>1409930</v>
      </c>
      <c r="AP10" s="1"/>
      <c r="AQ10" s="60">
        <f>+AO10+AK10-AM10+AI10+AG10</f>
        <v>853619</v>
      </c>
      <c r="AR10" s="21"/>
      <c r="AS10" s="1">
        <v>0</v>
      </c>
      <c r="AT10" s="1"/>
      <c r="AU10" s="1">
        <v>0</v>
      </c>
      <c r="AV10" s="1"/>
      <c r="AW10" s="60">
        <f>+C10-I10</f>
        <v>1057994</v>
      </c>
      <c r="AX10" s="17"/>
      <c r="AY10" s="63" t="s">
        <v>13</v>
      </c>
      <c r="AZ10" s="17"/>
      <c r="BA10" s="60">
        <v>0</v>
      </c>
      <c r="BB10" s="1"/>
      <c r="BC10" s="60">
        <v>5316187</v>
      </c>
      <c r="BD10" s="1"/>
      <c r="BE10" s="60">
        <v>754803</v>
      </c>
      <c r="BF10" s="1"/>
      <c r="BG10" s="60">
        <v>39863</v>
      </c>
      <c r="BH10" s="1"/>
      <c r="BI10" s="1"/>
      <c r="BJ10" s="1"/>
      <c r="BK10" s="60">
        <f>SUM(BA10:BI10)</f>
        <v>6110853</v>
      </c>
      <c r="BL10" s="65"/>
    </row>
    <row r="11" spans="1:64" ht="12" customHeight="1" hidden="1">
      <c r="A11" s="63" t="s">
        <v>14</v>
      </c>
      <c r="B11" s="63"/>
      <c r="C11" s="17">
        <f aca="true" t="shared" si="0" ref="C11:C26">+G11-E11</f>
        <v>0</v>
      </c>
      <c r="D11" s="17"/>
      <c r="E11" s="17">
        <v>0</v>
      </c>
      <c r="F11" s="17"/>
      <c r="G11" s="17">
        <v>0</v>
      </c>
      <c r="H11" s="17"/>
      <c r="I11" s="17">
        <f aca="true" t="shared" si="1" ref="I11:I26">M11-K11</f>
        <v>0</v>
      </c>
      <c r="J11" s="17"/>
      <c r="K11" s="17">
        <f aca="true" t="shared" si="2" ref="K11:K26">SUM(BK11)</f>
        <v>0</v>
      </c>
      <c r="L11" s="17"/>
      <c r="M11" s="17">
        <v>0</v>
      </c>
      <c r="N11" s="17"/>
      <c r="O11" s="17">
        <v>0</v>
      </c>
      <c r="P11" s="17"/>
      <c r="Q11" s="17">
        <v>0</v>
      </c>
      <c r="R11" s="17"/>
      <c r="S11" s="17">
        <v>0</v>
      </c>
      <c r="T11" s="17"/>
      <c r="U11" s="17">
        <f aca="true" t="shared" si="3" ref="U11:U26">SUM(O11:S11)</f>
        <v>0</v>
      </c>
      <c r="V11" s="17"/>
      <c r="W11" s="17">
        <f>+G11-M11-U11</f>
        <v>0</v>
      </c>
      <c r="X11" s="17"/>
      <c r="Y11" s="63" t="s">
        <v>14</v>
      </c>
      <c r="Z11" s="17"/>
      <c r="AA11" s="17">
        <v>0</v>
      </c>
      <c r="AB11" s="1"/>
      <c r="AC11" s="17">
        <v>0</v>
      </c>
      <c r="AD11" s="1"/>
      <c r="AE11" s="17">
        <v>0</v>
      </c>
      <c r="AF11" s="1"/>
      <c r="AG11" s="17">
        <f aca="true" t="shared" si="4" ref="AG11:AG26">+AA11-AC11-AE11</f>
        <v>0</v>
      </c>
      <c r="AH11" s="21"/>
      <c r="AI11" s="17">
        <v>0</v>
      </c>
      <c r="AJ11" s="21"/>
      <c r="AK11" s="17">
        <v>0</v>
      </c>
      <c r="AL11" s="1"/>
      <c r="AM11" s="17">
        <v>0</v>
      </c>
      <c r="AN11" s="1"/>
      <c r="AO11" s="17">
        <v>0</v>
      </c>
      <c r="AP11" s="1"/>
      <c r="AQ11" s="17">
        <f aca="true" t="shared" si="5" ref="AQ11:AQ26">+AO11+AK11-AM11+AI11+AG11</f>
        <v>0</v>
      </c>
      <c r="AR11" s="21"/>
      <c r="AS11" s="1">
        <v>0</v>
      </c>
      <c r="AT11" s="1"/>
      <c r="AU11" s="1">
        <v>0</v>
      </c>
      <c r="AV11" s="1"/>
      <c r="AW11" s="17">
        <f aca="true" t="shared" si="6" ref="AW11:AW26">+C11-I11</f>
        <v>0</v>
      </c>
      <c r="AX11" s="17"/>
      <c r="AY11" s="63" t="s">
        <v>14</v>
      </c>
      <c r="AZ11" s="17"/>
      <c r="BA11" s="17">
        <v>0</v>
      </c>
      <c r="BB11" s="1"/>
      <c r="BC11" s="17">
        <v>0</v>
      </c>
      <c r="BD11" s="1"/>
      <c r="BE11" s="17">
        <v>0</v>
      </c>
      <c r="BF11" s="1"/>
      <c r="BG11" s="17">
        <v>0</v>
      </c>
      <c r="BH11" s="1"/>
      <c r="BI11" s="1"/>
      <c r="BJ11" s="1"/>
      <c r="BK11" s="17">
        <f>SUM(BA11:BI11)</f>
        <v>0</v>
      </c>
      <c r="BL11" s="65"/>
    </row>
    <row r="12" spans="1:64" ht="12" customHeight="1">
      <c r="A12" s="63" t="s">
        <v>15</v>
      </c>
      <c r="B12" s="63"/>
      <c r="C12" s="17">
        <f>+G12-E12</f>
        <v>2927791</v>
      </c>
      <c r="D12" s="17"/>
      <c r="E12" s="17">
        <v>9742580</v>
      </c>
      <c r="F12" s="17"/>
      <c r="G12" s="17">
        <v>12670371</v>
      </c>
      <c r="H12" s="17"/>
      <c r="I12" s="17">
        <f t="shared" si="1"/>
        <v>305985</v>
      </c>
      <c r="J12" s="17"/>
      <c r="K12" s="17">
        <f t="shared" si="2"/>
        <v>3628331</v>
      </c>
      <c r="L12" s="17"/>
      <c r="M12" s="17">
        <v>3934316</v>
      </c>
      <c r="N12" s="17"/>
      <c r="O12" s="17">
        <v>5900087</v>
      </c>
      <c r="P12" s="17"/>
      <c r="Q12" s="17">
        <v>0</v>
      </c>
      <c r="R12" s="17"/>
      <c r="S12" s="17">
        <v>2835968</v>
      </c>
      <c r="T12" s="17"/>
      <c r="U12" s="17">
        <f t="shared" si="3"/>
        <v>8736055</v>
      </c>
      <c r="V12" s="60"/>
      <c r="W12" s="60">
        <f>+G12-M12-U12</f>
        <v>0</v>
      </c>
      <c r="X12" s="60"/>
      <c r="Y12" s="66" t="s">
        <v>15</v>
      </c>
      <c r="Z12" s="60"/>
      <c r="AA12" s="17">
        <v>1825140</v>
      </c>
      <c r="AB12" s="1"/>
      <c r="AC12" s="17">
        <f>2375741-946109</f>
        <v>1429632</v>
      </c>
      <c r="AD12" s="1"/>
      <c r="AE12" s="17">
        <v>946109</v>
      </c>
      <c r="AF12" s="1"/>
      <c r="AG12" s="17">
        <f t="shared" si="4"/>
        <v>-550601</v>
      </c>
      <c r="AH12" s="21"/>
      <c r="AI12" s="17">
        <v>-88334</v>
      </c>
      <c r="AJ12" s="21"/>
      <c r="AK12" s="17">
        <v>0</v>
      </c>
      <c r="AL12" s="1"/>
      <c r="AM12" s="17">
        <v>0</v>
      </c>
      <c r="AN12" s="1"/>
      <c r="AO12" s="17">
        <v>0</v>
      </c>
      <c r="AP12" s="1"/>
      <c r="AQ12" s="17">
        <f t="shared" si="5"/>
        <v>-638935</v>
      </c>
      <c r="AR12" s="21"/>
      <c r="AS12" s="1">
        <v>0</v>
      </c>
      <c r="AT12" s="1"/>
      <c r="AU12" s="1">
        <v>0</v>
      </c>
      <c r="AV12" s="1"/>
      <c r="AW12" s="17">
        <f t="shared" si="6"/>
        <v>2621806</v>
      </c>
      <c r="AX12" s="67"/>
      <c r="AY12" s="66" t="s">
        <v>15</v>
      </c>
      <c r="AZ12" s="67"/>
      <c r="BA12" s="17">
        <v>0</v>
      </c>
      <c r="BB12" s="1"/>
      <c r="BC12" s="17">
        <v>380900</v>
      </c>
      <c r="BD12" s="1"/>
      <c r="BE12" s="17">
        <f>2970640+221694</f>
        <v>3192334</v>
      </c>
      <c r="BF12" s="1"/>
      <c r="BG12" s="17">
        <v>55097</v>
      </c>
      <c r="BH12" s="1"/>
      <c r="BI12" s="1"/>
      <c r="BJ12" s="1"/>
      <c r="BK12" s="17">
        <f aca="true" t="shared" si="7" ref="BK12:BK26">SUM(BA12:BI12)</f>
        <v>3628331</v>
      </c>
      <c r="BL12" s="65"/>
    </row>
    <row r="13" spans="1:64" ht="12" customHeight="1">
      <c r="A13" s="63" t="s">
        <v>16</v>
      </c>
      <c r="B13" s="63"/>
      <c r="C13" s="17">
        <f t="shared" si="0"/>
        <v>1323216</v>
      </c>
      <c r="D13" s="17"/>
      <c r="E13" s="17">
        <f>2143352+2865036</f>
        <v>5008388</v>
      </c>
      <c r="F13" s="17"/>
      <c r="G13" s="17">
        <f>3348500+2983104</f>
        <v>6331604</v>
      </c>
      <c r="H13" s="17"/>
      <c r="I13" s="17">
        <f t="shared" si="1"/>
        <v>69352</v>
      </c>
      <c r="J13" s="17"/>
      <c r="K13" s="17">
        <f t="shared" si="2"/>
        <v>1217834</v>
      </c>
      <c r="L13" s="17"/>
      <c r="M13" s="17">
        <f>542538+744648</f>
        <v>1287186</v>
      </c>
      <c r="N13" s="17"/>
      <c r="O13" s="17">
        <f>1624853+2148636</f>
        <v>3773489</v>
      </c>
      <c r="P13" s="17"/>
      <c r="Q13" s="17">
        <f>0</f>
        <v>0</v>
      </c>
      <c r="R13" s="17"/>
      <c r="S13" s="17">
        <f>1181109+89820</f>
        <v>1270929</v>
      </c>
      <c r="T13" s="17"/>
      <c r="U13" s="17">
        <f t="shared" si="3"/>
        <v>5044418</v>
      </c>
      <c r="V13" s="17"/>
      <c r="W13" s="17">
        <f aca="true" t="shared" si="8" ref="W13:W26">+G13-M13-U13</f>
        <v>0</v>
      </c>
      <c r="X13" s="17"/>
      <c r="Y13" s="68" t="s">
        <v>16</v>
      </c>
      <c r="Z13" s="17"/>
      <c r="AA13" s="17">
        <f>301666+142309</f>
        <v>443975</v>
      </c>
      <c r="AB13" s="1"/>
      <c r="AC13" s="17">
        <f>354615+179565-67149-62283</f>
        <v>404748</v>
      </c>
      <c r="AD13" s="1"/>
      <c r="AE13" s="17">
        <f>67149+62283</f>
        <v>129432</v>
      </c>
      <c r="AF13" s="1"/>
      <c r="AG13" s="17">
        <f t="shared" si="4"/>
        <v>-90205</v>
      </c>
      <c r="AH13" s="21"/>
      <c r="AI13" s="17">
        <f>-12473-32357</f>
        <v>-44830</v>
      </c>
      <c r="AJ13" s="21"/>
      <c r="AK13" s="17">
        <v>0</v>
      </c>
      <c r="AL13" s="1"/>
      <c r="AM13" s="17">
        <v>0</v>
      </c>
      <c r="AN13" s="1"/>
      <c r="AO13" s="17">
        <v>0</v>
      </c>
      <c r="AP13" s="1"/>
      <c r="AQ13" s="17">
        <f t="shared" si="5"/>
        <v>-135035</v>
      </c>
      <c r="AR13" s="21"/>
      <c r="AS13" s="1">
        <v>0</v>
      </c>
      <c r="AT13" s="1"/>
      <c r="AU13" s="1">
        <v>0</v>
      </c>
      <c r="AV13" s="1"/>
      <c r="AW13" s="17">
        <f t="shared" si="6"/>
        <v>1253864</v>
      </c>
      <c r="AX13" s="1"/>
      <c r="AY13" s="68" t="s">
        <v>16</v>
      </c>
      <c r="AZ13" s="1"/>
      <c r="BA13" s="17">
        <v>116100</v>
      </c>
      <c r="BB13" s="1"/>
      <c r="BC13" s="17">
        <v>592000</v>
      </c>
      <c r="BD13" s="1"/>
      <c r="BE13" s="17">
        <v>509734</v>
      </c>
      <c r="BF13" s="1"/>
      <c r="BG13" s="17">
        <v>0</v>
      </c>
      <c r="BH13" s="1"/>
      <c r="BI13" s="1"/>
      <c r="BJ13" s="1"/>
      <c r="BK13" s="17">
        <f t="shared" si="7"/>
        <v>1217834</v>
      </c>
      <c r="BL13" s="65"/>
    </row>
    <row r="14" spans="1:64" ht="12" customHeight="1">
      <c r="A14" s="63" t="s">
        <v>17</v>
      </c>
      <c r="B14" s="63"/>
      <c r="C14" s="17">
        <f t="shared" si="0"/>
        <v>523567</v>
      </c>
      <c r="D14" s="17"/>
      <c r="E14" s="17">
        <v>3661938</v>
      </c>
      <c r="F14" s="17"/>
      <c r="G14" s="17">
        <v>4185505</v>
      </c>
      <c r="H14" s="17"/>
      <c r="I14" s="17">
        <f t="shared" si="1"/>
        <v>6332</v>
      </c>
      <c r="J14" s="17"/>
      <c r="K14" s="17">
        <f t="shared" si="2"/>
        <v>27500</v>
      </c>
      <c r="L14" s="17"/>
      <c r="M14" s="17">
        <v>33832</v>
      </c>
      <c r="N14" s="17"/>
      <c r="O14" s="17">
        <v>3629438</v>
      </c>
      <c r="P14" s="17"/>
      <c r="Q14" s="17">
        <v>0</v>
      </c>
      <c r="R14" s="17"/>
      <c r="S14" s="17">
        <v>522234</v>
      </c>
      <c r="T14" s="17"/>
      <c r="U14" s="17">
        <f t="shared" si="3"/>
        <v>4151672</v>
      </c>
      <c r="V14" s="17"/>
      <c r="W14" s="17">
        <f t="shared" si="8"/>
        <v>1</v>
      </c>
      <c r="X14" s="17"/>
      <c r="Y14" s="68" t="s">
        <v>17</v>
      </c>
      <c r="Z14" s="17"/>
      <c r="AA14" s="17">
        <v>272612</v>
      </c>
      <c r="AB14" s="1"/>
      <c r="AC14" s="17">
        <f>235538+900</f>
        <v>236438</v>
      </c>
      <c r="AD14" s="1"/>
      <c r="AE14" s="17">
        <f>114678</f>
        <v>114678</v>
      </c>
      <c r="AF14" s="1"/>
      <c r="AG14" s="17">
        <f t="shared" si="4"/>
        <v>-78504</v>
      </c>
      <c r="AH14" s="21"/>
      <c r="AI14" s="17">
        <v>0</v>
      </c>
      <c r="AJ14" s="21"/>
      <c r="AK14" s="17">
        <v>0</v>
      </c>
      <c r="AL14" s="1"/>
      <c r="AM14" s="17">
        <v>0</v>
      </c>
      <c r="AN14" s="1"/>
      <c r="AO14" s="17">
        <v>0</v>
      </c>
      <c r="AP14" s="1"/>
      <c r="AQ14" s="17">
        <f t="shared" si="5"/>
        <v>-78504</v>
      </c>
      <c r="AR14" s="21"/>
      <c r="AS14" s="1">
        <v>0</v>
      </c>
      <c r="AT14" s="1"/>
      <c r="AU14" s="1">
        <v>0</v>
      </c>
      <c r="AV14" s="1"/>
      <c r="AW14" s="17">
        <f t="shared" si="6"/>
        <v>517235</v>
      </c>
      <c r="AX14" s="17"/>
      <c r="AY14" s="68" t="s">
        <v>17</v>
      </c>
      <c r="AZ14" s="17"/>
      <c r="BA14" s="17">
        <v>0</v>
      </c>
      <c r="BB14" s="1"/>
      <c r="BC14" s="17">
        <v>0</v>
      </c>
      <c r="BD14" s="1"/>
      <c r="BE14" s="17">
        <v>0</v>
      </c>
      <c r="BF14" s="1"/>
      <c r="BG14" s="17">
        <v>27500</v>
      </c>
      <c r="BH14" s="1"/>
      <c r="BI14" s="1"/>
      <c r="BJ14" s="1"/>
      <c r="BK14" s="17">
        <f t="shared" si="7"/>
        <v>27500</v>
      </c>
      <c r="BL14" s="65"/>
    </row>
    <row r="15" spans="1:64" ht="12" customHeight="1">
      <c r="A15" s="63" t="s">
        <v>18</v>
      </c>
      <c r="B15" s="63"/>
      <c r="C15" s="17">
        <f t="shared" si="0"/>
        <v>2567610</v>
      </c>
      <c r="D15" s="17"/>
      <c r="E15" s="17">
        <f>9987383+38975+97574+140556+28537</f>
        <v>10293025</v>
      </c>
      <c r="F15" s="17"/>
      <c r="G15" s="17">
        <f>11103640+1396330+166342+149884+44439</f>
        <v>12860635</v>
      </c>
      <c r="H15" s="17"/>
      <c r="I15" s="17">
        <f t="shared" si="1"/>
        <v>593037</v>
      </c>
      <c r="J15" s="17"/>
      <c r="K15" s="17">
        <f t="shared" si="2"/>
        <v>7294179</v>
      </c>
      <c r="L15" s="17"/>
      <c r="M15" s="17">
        <f>7625471+245812+12335+3598</f>
        <v>7887216</v>
      </c>
      <c r="N15" s="17"/>
      <c r="O15" s="17">
        <f>2677832+32874+87595+139858+28537</f>
        <v>2966696</v>
      </c>
      <c r="P15" s="17"/>
      <c r="Q15" s="17">
        <v>0</v>
      </c>
      <c r="R15" s="17"/>
      <c r="S15" s="17">
        <f>800337+1117644+66412+6428+15902</f>
        <v>2006723</v>
      </c>
      <c r="T15" s="17"/>
      <c r="U15" s="17">
        <f t="shared" si="3"/>
        <v>4973419</v>
      </c>
      <c r="V15" s="17"/>
      <c r="W15" s="17">
        <f t="shared" si="8"/>
        <v>0</v>
      </c>
      <c r="X15" s="17"/>
      <c r="Y15" s="68" t="s">
        <v>18</v>
      </c>
      <c r="Z15" s="17"/>
      <c r="AA15" s="17">
        <f>1022495+238604+42566+20388+1739</f>
        <v>1325792</v>
      </c>
      <c r="AB15" s="1"/>
      <c r="AC15" s="17">
        <f>1020969-302037+289774-1929+66060-7183+25420-9990</f>
        <v>1081084</v>
      </c>
      <c r="AD15" s="1"/>
      <c r="AE15" s="17">
        <f>302037+1929+7183+9990+1427</f>
        <v>322566</v>
      </c>
      <c r="AF15" s="1"/>
      <c r="AG15" s="17">
        <f t="shared" si="4"/>
        <v>-77858</v>
      </c>
      <c r="AH15" s="21"/>
      <c r="AI15" s="17">
        <f>-247591+61148</f>
        <v>-186443</v>
      </c>
      <c r="AJ15" s="21"/>
      <c r="AK15" s="17">
        <f>9389+62104</f>
        <v>71493</v>
      </c>
      <c r="AL15" s="1"/>
      <c r="AM15" s="17">
        <f>9389</f>
        <v>9389</v>
      </c>
      <c r="AN15" s="1"/>
      <c r="AO15" s="17">
        <f>4000+300</f>
        <v>4300</v>
      </c>
      <c r="AP15" s="1"/>
      <c r="AQ15" s="17">
        <f t="shared" si="5"/>
        <v>-197897</v>
      </c>
      <c r="AR15" s="21"/>
      <c r="AS15" s="1">
        <v>0</v>
      </c>
      <c r="AT15" s="1"/>
      <c r="AU15" s="1">
        <v>0</v>
      </c>
      <c r="AV15" s="1"/>
      <c r="AW15" s="17">
        <f t="shared" si="6"/>
        <v>1974573</v>
      </c>
      <c r="AX15" s="1"/>
      <c r="AY15" s="68" t="s">
        <v>18</v>
      </c>
      <c r="AZ15" s="1"/>
      <c r="BA15" s="17">
        <f>1943756</f>
        <v>1943756</v>
      </c>
      <c r="BB15" s="1"/>
      <c r="BC15" s="17">
        <v>0</v>
      </c>
      <c r="BD15" s="1"/>
      <c r="BE15" s="17">
        <v>0</v>
      </c>
      <c r="BF15" s="1"/>
      <c r="BG15" s="17">
        <f>9551+15510+5300000+13428+10891+1043</f>
        <v>5350423</v>
      </c>
      <c r="BH15" s="1"/>
      <c r="BI15" s="1"/>
      <c r="BJ15" s="1"/>
      <c r="BK15" s="17">
        <f t="shared" si="7"/>
        <v>7294179</v>
      </c>
      <c r="BL15" s="65"/>
    </row>
    <row r="16" spans="1:64" ht="12" customHeight="1" hidden="1">
      <c r="A16" s="63" t="s">
        <v>254</v>
      </c>
      <c r="B16" s="63"/>
      <c r="C16" s="17">
        <f t="shared" si="0"/>
        <v>0</v>
      </c>
      <c r="D16" s="17"/>
      <c r="E16" s="17"/>
      <c r="F16" s="17"/>
      <c r="G16" s="17"/>
      <c r="H16" s="17"/>
      <c r="I16" s="17">
        <f t="shared" si="1"/>
        <v>0</v>
      </c>
      <c r="J16" s="17"/>
      <c r="K16" s="17">
        <f t="shared" si="2"/>
        <v>0</v>
      </c>
      <c r="L16" s="17"/>
      <c r="M16" s="17"/>
      <c r="N16" s="17"/>
      <c r="O16" s="17"/>
      <c r="P16" s="17"/>
      <c r="Q16" s="17"/>
      <c r="R16" s="17"/>
      <c r="S16" s="17"/>
      <c r="T16" s="17"/>
      <c r="U16" s="17">
        <f t="shared" si="3"/>
        <v>0</v>
      </c>
      <c r="V16" s="17"/>
      <c r="W16" s="17">
        <f t="shared" si="8"/>
        <v>0</v>
      </c>
      <c r="X16" s="17"/>
      <c r="Y16" s="68" t="s">
        <v>96</v>
      </c>
      <c r="Z16" s="17"/>
      <c r="AA16" s="17"/>
      <c r="AB16" s="1"/>
      <c r="AC16" s="17"/>
      <c r="AD16" s="1"/>
      <c r="AE16" s="17"/>
      <c r="AF16" s="1"/>
      <c r="AG16" s="17">
        <f t="shared" si="4"/>
        <v>0</v>
      </c>
      <c r="AH16" s="21"/>
      <c r="AI16" s="17"/>
      <c r="AJ16" s="21"/>
      <c r="AK16" s="17"/>
      <c r="AL16" s="1"/>
      <c r="AM16" s="17"/>
      <c r="AN16" s="1"/>
      <c r="AO16" s="17"/>
      <c r="AP16" s="1"/>
      <c r="AQ16" s="17">
        <f t="shared" si="5"/>
        <v>0</v>
      </c>
      <c r="AR16" s="21"/>
      <c r="AS16" s="1">
        <v>0</v>
      </c>
      <c r="AT16" s="1"/>
      <c r="AU16" s="1">
        <v>0</v>
      </c>
      <c r="AV16" s="1"/>
      <c r="AW16" s="17">
        <f t="shared" si="6"/>
        <v>0</v>
      </c>
      <c r="AX16" s="17"/>
      <c r="AY16" s="68" t="s">
        <v>96</v>
      </c>
      <c r="AZ16" s="17"/>
      <c r="BA16" s="17"/>
      <c r="BB16" s="1"/>
      <c r="BC16" s="17"/>
      <c r="BD16" s="1"/>
      <c r="BE16" s="17"/>
      <c r="BF16" s="1"/>
      <c r="BG16" s="17"/>
      <c r="BH16" s="1"/>
      <c r="BI16" s="1"/>
      <c r="BJ16" s="1"/>
      <c r="BK16" s="17">
        <f t="shared" si="7"/>
        <v>0</v>
      </c>
      <c r="BL16" s="65"/>
    </row>
    <row r="17" spans="1:64" ht="12" customHeight="1">
      <c r="A17" s="63" t="s">
        <v>19</v>
      </c>
      <c r="B17" s="63"/>
      <c r="C17" s="17">
        <f t="shared" si="0"/>
        <v>27553886</v>
      </c>
      <c r="D17" s="17"/>
      <c r="E17" s="17">
        <v>210175030</v>
      </c>
      <c r="F17" s="17"/>
      <c r="G17" s="17">
        <v>237728916</v>
      </c>
      <c r="H17" s="17"/>
      <c r="I17" s="17">
        <f t="shared" si="1"/>
        <v>1366524</v>
      </c>
      <c r="J17" s="17"/>
      <c r="K17" s="17">
        <f t="shared" si="2"/>
        <v>63185040</v>
      </c>
      <c r="L17" s="17"/>
      <c r="M17" s="17">
        <v>64551564</v>
      </c>
      <c r="N17" s="17"/>
      <c r="O17" s="17">
        <v>144676973</v>
      </c>
      <c r="P17" s="17"/>
      <c r="Q17" s="17">
        <f>4660860+4000000</f>
        <v>8660860</v>
      </c>
      <c r="R17" s="17"/>
      <c r="S17" s="17">
        <v>19839519</v>
      </c>
      <c r="T17" s="17"/>
      <c r="U17" s="17">
        <f>SUM(O17:S17)</f>
        <v>173177352</v>
      </c>
      <c r="V17" s="17"/>
      <c r="W17" s="17">
        <f t="shared" si="8"/>
        <v>0</v>
      </c>
      <c r="X17" s="17"/>
      <c r="Y17" s="68" t="s">
        <v>19</v>
      </c>
      <c r="Z17" s="17"/>
      <c r="AA17" s="17">
        <v>19238592</v>
      </c>
      <c r="AB17" s="1"/>
      <c r="AC17" s="17">
        <f>22816594-8596384</f>
        <v>14220210</v>
      </c>
      <c r="AD17" s="1"/>
      <c r="AE17" s="17">
        <v>8596384</v>
      </c>
      <c r="AF17" s="1"/>
      <c r="AG17" s="17">
        <f t="shared" si="4"/>
        <v>-3578002</v>
      </c>
      <c r="AH17" s="21"/>
      <c r="AI17" s="17">
        <v>-2731093</v>
      </c>
      <c r="AJ17" s="21"/>
      <c r="AK17" s="17">
        <v>0</v>
      </c>
      <c r="AL17" s="1"/>
      <c r="AM17" s="17">
        <v>0</v>
      </c>
      <c r="AN17" s="1"/>
      <c r="AO17" s="17">
        <v>16147693</v>
      </c>
      <c r="AP17" s="1"/>
      <c r="AQ17" s="17">
        <f t="shared" si="5"/>
        <v>9838598</v>
      </c>
      <c r="AR17" s="21"/>
      <c r="AS17" s="1">
        <v>0</v>
      </c>
      <c r="AT17" s="1"/>
      <c r="AU17" s="1">
        <v>0</v>
      </c>
      <c r="AV17" s="1"/>
      <c r="AW17" s="17">
        <f t="shared" si="6"/>
        <v>26187362</v>
      </c>
      <c r="AX17" s="17"/>
      <c r="AY17" s="68" t="s">
        <v>19</v>
      </c>
      <c r="AZ17" s="17"/>
      <c r="BA17" s="17">
        <f>3756680+37190</f>
        <v>3793870</v>
      </c>
      <c r="BB17" s="1"/>
      <c r="BC17" s="17">
        <f>54995497+3980580</f>
        <v>58976077</v>
      </c>
      <c r="BD17" s="1"/>
      <c r="BE17" s="17">
        <v>0</v>
      </c>
      <c r="BF17" s="1"/>
      <c r="BG17" s="17">
        <f>162493+252600</f>
        <v>415093</v>
      </c>
      <c r="BH17" s="1"/>
      <c r="BI17" s="1"/>
      <c r="BJ17" s="1"/>
      <c r="BK17" s="17">
        <f t="shared" si="7"/>
        <v>63185040</v>
      </c>
      <c r="BL17" s="65"/>
    </row>
    <row r="18" spans="1:64" ht="12" customHeight="1">
      <c r="A18" s="63" t="s">
        <v>20</v>
      </c>
      <c r="B18" s="63"/>
      <c r="C18" s="17">
        <f t="shared" si="0"/>
        <v>633602</v>
      </c>
      <c r="D18" s="17"/>
      <c r="E18" s="17">
        <v>7297966</v>
      </c>
      <c r="F18" s="17"/>
      <c r="G18" s="17">
        <v>7931568</v>
      </c>
      <c r="H18" s="17"/>
      <c r="I18" s="17">
        <f t="shared" si="1"/>
        <v>227190</v>
      </c>
      <c r="J18" s="17"/>
      <c r="K18" s="17">
        <f t="shared" si="2"/>
        <v>3335511</v>
      </c>
      <c r="L18" s="17"/>
      <c r="M18" s="17">
        <v>3562701</v>
      </c>
      <c r="N18" s="17"/>
      <c r="O18" s="17">
        <v>3940696</v>
      </c>
      <c r="P18" s="17"/>
      <c r="Q18" s="17">
        <v>28970</v>
      </c>
      <c r="R18" s="17"/>
      <c r="S18" s="17">
        <v>399201</v>
      </c>
      <c r="T18" s="17"/>
      <c r="U18" s="17">
        <f t="shared" si="3"/>
        <v>4368867</v>
      </c>
      <c r="V18" s="17"/>
      <c r="W18" s="17">
        <f t="shared" si="8"/>
        <v>0</v>
      </c>
      <c r="X18" s="17"/>
      <c r="Y18" s="68" t="s">
        <v>20</v>
      </c>
      <c r="Z18" s="17"/>
      <c r="AA18" s="17">
        <v>680868</v>
      </c>
      <c r="AB18" s="1"/>
      <c r="AC18" s="17">
        <f>723346-263371</f>
        <v>459975</v>
      </c>
      <c r="AD18" s="1"/>
      <c r="AE18" s="17">
        <v>263371</v>
      </c>
      <c r="AF18" s="1"/>
      <c r="AG18" s="17">
        <f t="shared" si="4"/>
        <v>-42478</v>
      </c>
      <c r="AH18" s="21"/>
      <c r="AI18" s="17">
        <v>-130095</v>
      </c>
      <c r="AJ18" s="21"/>
      <c r="AK18" s="17">
        <v>0</v>
      </c>
      <c r="AL18" s="1"/>
      <c r="AM18" s="17">
        <v>0</v>
      </c>
      <c r="AN18" s="1"/>
      <c r="AO18" s="17">
        <v>0</v>
      </c>
      <c r="AP18" s="1"/>
      <c r="AQ18" s="17">
        <f t="shared" si="5"/>
        <v>-172573</v>
      </c>
      <c r="AR18" s="21"/>
      <c r="AS18" s="1">
        <v>0</v>
      </c>
      <c r="AT18" s="1"/>
      <c r="AU18" s="1">
        <v>0</v>
      </c>
      <c r="AV18" s="1"/>
      <c r="AW18" s="17">
        <f t="shared" si="6"/>
        <v>406412</v>
      </c>
      <c r="AX18" s="1"/>
      <c r="AY18" s="68" t="s">
        <v>20</v>
      </c>
      <c r="AZ18" s="1"/>
      <c r="BA18" s="17">
        <v>0</v>
      </c>
      <c r="BB18" s="1"/>
      <c r="BC18" s="17">
        <v>3082600</v>
      </c>
      <c r="BD18" s="1"/>
      <c r="BE18" s="17">
        <v>245700</v>
      </c>
      <c r="BF18" s="1"/>
      <c r="BG18" s="17">
        <f>6835+376</f>
        <v>7211</v>
      </c>
      <c r="BH18" s="1"/>
      <c r="BI18" s="1"/>
      <c r="BJ18" s="1"/>
      <c r="BK18" s="17">
        <f t="shared" si="7"/>
        <v>3335511</v>
      </c>
      <c r="BL18" s="65"/>
    </row>
    <row r="19" spans="1:64" ht="12" customHeight="1" hidden="1">
      <c r="A19" s="4" t="s">
        <v>173</v>
      </c>
      <c r="B19" s="4"/>
      <c r="C19" s="17">
        <f t="shared" si="0"/>
        <v>0</v>
      </c>
      <c r="D19" s="17"/>
      <c r="E19" s="17">
        <v>0</v>
      </c>
      <c r="F19" s="17"/>
      <c r="G19" s="17">
        <v>0</v>
      </c>
      <c r="H19" s="17"/>
      <c r="I19" s="17">
        <f t="shared" si="1"/>
        <v>0</v>
      </c>
      <c r="J19" s="17"/>
      <c r="K19" s="17">
        <f t="shared" si="2"/>
        <v>0</v>
      </c>
      <c r="L19" s="17"/>
      <c r="M19" s="17">
        <v>0</v>
      </c>
      <c r="N19" s="17"/>
      <c r="O19" s="17">
        <v>0</v>
      </c>
      <c r="P19" s="17"/>
      <c r="Q19" s="17">
        <v>0</v>
      </c>
      <c r="R19" s="17"/>
      <c r="S19" s="17">
        <v>0</v>
      </c>
      <c r="T19" s="17"/>
      <c r="U19" s="17">
        <f t="shared" si="3"/>
        <v>0</v>
      </c>
      <c r="V19" s="17"/>
      <c r="W19" s="17">
        <f t="shared" si="8"/>
        <v>0</v>
      </c>
      <c r="X19" s="17"/>
      <c r="Y19" s="1" t="s">
        <v>173</v>
      </c>
      <c r="Z19" s="17"/>
      <c r="AA19" s="17">
        <v>0</v>
      </c>
      <c r="AB19" s="1"/>
      <c r="AC19" s="17">
        <v>0</v>
      </c>
      <c r="AD19" s="1"/>
      <c r="AE19" s="17">
        <v>0</v>
      </c>
      <c r="AF19" s="1"/>
      <c r="AG19" s="17">
        <f t="shared" si="4"/>
        <v>0</v>
      </c>
      <c r="AH19" s="21"/>
      <c r="AI19" s="17">
        <v>0</v>
      </c>
      <c r="AJ19" s="21"/>
      <c r="AK19" s="17">
        <v>0</v>
      </c>
      <c r="AL19" s="1"/>
      <c r="AM19" s="17">
        <v>0</v>
      </c>
      <c r="AN19" s="1"/>
      <c r="AO19" s="17">
        <v>0</v>
      </c>
      <c r="AP19" s="1"/>
      <c r="AQ19" s="17">
        <f t="shared" si="5"/>
        <v>0</v>
      </c>
      <c r="AR19" s="21"/>
      <c r="AS19" s="1">
        <v>0</v>
      </c>
      <c r="AT19" s="1"/>
      <c r="AU19" s="1">
        <v>0</v>
      </c>
      <c r="AV19" s="1"/>
      <c r="AW19" s="17">
        <f t="shared" si="6"/>
        <v>0</v>
      </c>
      <c r="AX19" s="17"/>
      <c r="AY19" s="1" t="s">
        <v>173</v>
      </c>
      <c r="AZ19" s="17"/>
      <c r="BA19" s="17">
        <v>0</v>
      </c>
      <c r="BB19" s="1"/>
      <c r="BC19" s="17">
        <v>0</v>
      </c>
      <c r="BD19" s="1"/>
      <c r="BE19" s="17">
        <v>0</v>
      </c>
      <c r="BF19" s="1"/>
      <c r="BG19" s="17">
        <v>0</v>
      </c>
      <c r="BH19" s="1"/>
      <c r="BI19" s="1"/>
      <c r="BJ19" s="1"/>
      <c r="BK19" s="17">
        <f t="shared" si="7"/>
        <v>0</v>
      </c>
      <c r="BL19" s="65"/>
    </row>
    <row r="20" spans="1:64" ht="12" customHeight="1">
      <c r="A20" s="63" t="s">
        <v>21</v>
      </c>
      <c r="B20" s="63"/>
      <c r="C20" s="17">
        <f t="shared" si="0"/>
        <v>3717349</v>
      </c>
      <c r="D20" s="17"/>
      <c r="E20" s="17">
        <v>15563771</v>
      </c>
      <c r="F20" s="17"/>
      <c r="G20" s="17">
        <v>19281120</v>
      </c>
      <c r="H20" s="17"/>
      <c r="I20" s="17">
        <f t="shared" si="1"/>
        <v>2133303</v>
      </c>
      <c r="J20" s="17"/>
      <c r="K20" s="17">
        <f t="shared" si="2"/>
        <v>3029029</v>
      </c>
      <c r="L20" s="17"/>
      <c r="M20" s="17">
        <v>5162332</v>
      </c>
      <c r="N20" s="17"/>
      <c r="O20" s="17">
        <v>10738378</v>
      </c>
      <c r="P20" s="17"/>
      <c r="Q20" s="17">
        <v>0</v>
      </c>
      <c r="R20" s="17"/>
      <c r="S20" s="17">
        <v>3380410</v>
      </c>
      <c r="T20" s="17"/>
      <c r="U20" s="17">
        <f t="shared" si="3"/>
        <v>14118788</v>
      </c>
      <c r="V20" s="17"/>
      <c r="W20" s="17">
        <f t="shared" si="8"/>
        <v>0</v>
      </c>
      <c r="X20" s="17"/>
      <c r="Y20" s="68" t="s">
        <v>21</v>
      </c>
      <c r="Z20" s="17"/>
      <c r="AA20" s="17">
        <v>3163396</v>
      </c>
      <c r="AB20" s="1"/>
      <c r="AC20" s="17">
        <f>4092547-881006</f>
        <v>3211541</v>
      </c>
      <c r="AD20" s="1"/>
      <c r="AE20" s="17">
        <v>881006</v>
      </c>
      <c r="AF20" s="1"/>
      <c r="AG20" s="17">
        <f t="shared" si="4"/>
        <v>-929151</v>
      </c>
      <c r="AH20" s="21"/>
      <c r="AI20" s="17">
        <f>431344-192184</f>
        <v>239160</v>
      </c>
      <c r="AJ20" s="21"/>
      <c r="AK20" s="17">
        <v>708491</v>
      </c>
      <c r="AL20" s="1"/>
      <c r="AM20" s="17">
        <v>708491</v>
      </c>
      <c r="AN20" s="1"/>
      <c r="AO20" s="17">
        <v>0</v>
      </c>
      <c r="AP20" s="1"/>
      <c r="AQ20" s="17">
        <f t="shared" si="5"/>
        <v>-689991</v>
      </c>
      <c r="AR20" s="21"/>
      <c r="AS20" s="1">
        <v>0</v>
      </c>
      <c r="AT20" s="1"/>
      <c r="AU20" s="1">
        <v>0</v>
      </c>
      <c r="AV20" s="1"/>
      <c r="AW20" s="17">
        <f t="shared" si="6"/>
        <v>1584046</v>
      </c>
      <c r="AX20" s="1"/>
      <c r="AY20" s="68" t="s">
        <v>21</v>
      </c>
      <c r="AZ20" s="1"/>
      <c r="BA20" s="17">
        <f>2363000+20772-63498</f>
        <v>2320274</v>
      </c>
      <c r="BB20" s="1"/>
      <c r="BC20" s="17">
        <v>0</v>
      </c>
      <c r="BD20" s="1"/>
      <c r="BE20" s="17">
        <v>637050</v>
      </c>
      <c r="BF20" s="1"/>
      <c r="BG20" s="17">
        <v>71705</v>
      </c>
      <c r="BH20" s="1"/>
      <c r="BI20" s="1"/>
      <c r="BJ20" s="1"/>
      <c r="BK20" s="17">
        <f t="shared" si="7"/>
        <v>3029029</v>
      </c>
      <c r="BL20" s="65"/>
    </row>
    <row r="21" spans="1:64" ht="12" customHeight="1">
      <c r="A21" s="63" t="s">
        <v>184</v>
      </c>
      <c r="B21" s="63"/>
      <c r="C21" s="17">
        <f t="shared" si="0"/>
        <v>42881687</v>
      </c>
      <c r="D21" s="17"/>
      <c r="E21" s="17">
        <v>167738542</v>
      </c>
      <c r="F21" s="17"/>
      <c r="G21" s="17">
        <v>210620229</v>
      </c>
      <c r="H21" s="17"/>
      <c r="I21" s="17">
        <f t="shared" si="1"/>
        <v>4987622</v>
      </c>
      <c r="J21" s="17"/>
      <c r="K21" s="17">
        <f t="shared" si="2"/>
        <v>42793604</v>
      </c>
      <c r="L21" s="17"/>
      <c r="M21" s="17">
        <v>47781226</v>
      </c>
      <c r="N21" s="17"/>
      <c r="O21" s="17">
        <v>112102262</v>
      </c>
      <c r="P21" s="17"/>
      <c r="Q21" s="17">
        <v>5101615</v>
      </c>
      <c r="R21" s="17"/>
      <c r="S21" s="17">
        <v>45635126</v>
      </c>
      <c r="T21" s="17"/>
      <c r="U21" s="17">
        <f t="shared" si="3"/>
        <v>162839003</v>
      </c>
      <c r="V21" s="17"/>
      <c r="W21" s="17">
        <f t="shared" si="8"/>
        <v>0</v>
      </c>
      <c r="X21" s="17"/>
      <c r="Y21" s="68" t="s">
        <v>184</v>
      </c>
      <c r="Z21" s="17"/>
      <c r="AA21" s="17">
        <v>13610685</v>
      </c>
      <c r="AB21" s="1"/>
      <c r="AC21" s="17">
        <f>14103962-6535506</f>
        <v>7568456</v>
      </c>
      <c r="AD21" s="1"/>
      <c r="AE21" s="17">
        <v>6535506</v>
      </c>
      <c r="AF21" s="1"/>
      <c r="AG21" s="17">
        <f t="shared" si="4"/>
        <v>-493277</v>
      </c>
      <c r="AH21" s="21"/>
      <c r="AI21" s="17">
        <v>380697</v>
      </c>
      <c r="AJ21" s="21"/>
      <c r="AK21" s="17">
        <v>36976</v>
      </c>
      <c r="AL21" s="1"/>
      <c r="AM21" s="17">
        <v>664</v>
      </c>
      <c r="AN21" s="1"/>
      <c r="AO21" s="17">
        <v>9204505</v>
      </c>
      <c r="AP21" s="1"/>
      <c r="AQ21" s="17">
        <f t="shared" si="5"/>
        <v>9128237</v>
      </c>
      <c r="AR21" s="21"/>
      <c r="AS21" s="1">
        <v>0</v>
      </c>
      <c r="AT21" s="1"/>
      <c r="AU21" s="1">
        <v>0</v>
      </c>
      <c r="AV21" s="1"/>
      <c r="AW21" s="17">
        <f t="shared" si="6"/>
        <v>37894065</v>
      </c>
      <c r="AX21" s="1"/>
      <c r="AY21" s="68" t="s">
        <v>184</v>
      </c>
      <c r="AZ21" s="1"/>
      <c r="BA21" s="17">
        <v>0</v>
      </c>
      <c r="BB21" s="1"/>
      <c r="BC21" s="17">
        <v>34260000</v>
      </c>
      <c r="BD21" s="1"/>
      <c r="BE21" s="17">
        <f>1147903+7385701</f>
        <v>8533604</v>
      </c>
      <c r="BF21" s="1"/>
      <c r="BG21" s="17">
        <v>0</v>
      </c>
      <c r="BH21" s="1"/>
      <c r="BI21" s="1"/>
      <c r="BJ21" s="1"/>
      <c r="BK21" s="17">
        <f t="shared" si="7"/>
        <v>42793604</v>
      </c>
      <c r="BL21" s="65"/>
    </row>
    <row r="22" spans="1:64" ht="12" customHeight="1" hidden="1">
      <c r="A22" s="63" t="s">
        <v>22</v>
      </c>
      <c r="B22" s="63"/>
      <c r="C22" s="17">
        <f t="shared" si="0"/>
        <v>0</v>
      </c>
      <c r="D22" s="17"/>
      <c r="E22" s="17">
        <v>0</v>
      </c>
      <c r="F22" s="17"/>
      <c r="G22" s="17">
        <v>0</v>
      </c>
      <c r="H22" s="17"/>
      <c r="I22" s="17">
        <f t="shared" si="1"/>
        <v>0</v>
      </c>
      <c r="J22" s="17"/>
      <c r="K22" s="17">
        <f t="shared" si="2"/>
        <v>0</v>
      </c>
      <c r="L22" s="17"/>
      <c r="M22" s="17">
        <v>0</v>
      </c>
      <c r="N22" s="17"/>
      <c r="O22" s="17">
        <v>0</v>
      </c>
      <c r="P22" s="17"/>
      <c r="Q22" s="17">
        <v>0</v>
      </c>
      <c r="R22" s="17"/>
      <c r="S22" s="17">
        <v>0</v>
      </c>
      <c r="T22" s="17"/>
      <c r="U22" s="17">
        <f t="shared" si="3"/>
        <v>0</v>
      </c>
      <c r="V22" s="17"/>
      <c r="W22" s="17">
        <f t="shared" si="8"/>
        <v>0</v>
      </c>
      <c r="X22" s="17"/>
      <c r="Y22" s="68" t="s">
        <v>22</v>
      </c>
      <c r="Z22" s="17"/>
      <c r="AA22" s="17">
        <v>0</v>
      </c>
      <c r="AB22" s="1"/>
      <c r="AC22" s="17">
        <v>0</v>
      </c>
      <c r="AD22" s="1"/>
      <c r="AE22" s="17">
        <v>0</v>
      </c>
      <c r="AF22" s="1"/>
      <c r="AG22" s="17">
        <f t="shared" si="4"/>
        <v>0</v>
      </c>
      <c r="AH22" s="21"/>
      <c r="AI22" s="17">
        <v>0</v>
      </c>
      <c r="AJ22" s="21"/>
      <c r="AK22" s="17">
        <v>0</v>
      </c>
      <c r="AL22" s="1"/>
      <c r="AM22" s="17">
        <v>0</v>
      </c>
      <c r="AN22" s="1"/>
      <c r="AO22" s="17">
        <v>0</v>
      </c>
      <c r="AP22" s="1"/>
      <c r="AQ22" s="17">
        <f t="shared" si="5"/>
        <v>0</v>
      </c>
      <c r="AR22" s="21"/>
      <c r="AS22" s="1">
        <v>0</v>
      </c>
      <c r="AT22" s="1"/>
      <c r="AU22" s="1">
        <v>0</v>
      </c>
      <c r="AV22" s="1"/>
      <c r="AW22" s="17">
        <f t="shared" si="6"/>
        <v>0</v>
      </c>
      <c r="AX22" s="17"/>
      <c r="AY22" s="68" t="s">
        <v>22</v>
      </c>
      <c r="AZ22" s="17"/>
      <c r="BA22" s="17">
        <v>0</v>
      </c>
      <c r="BB22" s="1"/>
      <c r="BC22" s="17">
        <v>0</v>
      </c>
      <c r="BD22" s="1"/>
      <c r="BE22" s="17">
        <v>0</v>
      </c>
      <c r="BF22" s="1"/>
      <c r="BG22" s="17">
        <v>0</v>
      </c>
      <c r="BH22" s="1"/>
      <c r="BI22" s="1"/>
      <c r="BJ22" s="1"/>
      <c r="BK22" s="17">
        <f t="shared" si="7"/>
        <v>0</v>
      </c>
      <c r="BL22" s="65"/>
    </row>
    <row r="23" spans="1:64" ht="12" customHeight="1" hidden="1">
      <c r="A23" s="63" t="s">
        <v>23</v>
      </c>
      <c r="B23" s="63"/>
      <c r="C23" s="17">
        <f t="shared" si="0"/>
        <v>0</v>
      </c>
      <c r="D23" s="17"/>
      <c r="E23" s="17"/>
      <c r="F23" s="17"/>
      <c r="G23" s="17"/>
      <c r="H23" s="17"/>
      <c r="I23" s="17">
        <f t="shared" si="1"/>
        <v>0</v>
      </c>
      <c r="J23" s="17"/>
      <c r="K23" s="17">
        <f t="shared" si="2"/>
        <v>0</v>
      </c>
      <c r="L23" s="17"/>
      <c r="M23" s="17"/>
      <c r="N23" s="17"/>
      <c r="O23" s="17"/>
      <c r="P23" s="17"/>
      <c r="Q23" s="17"/>
      <c r="R23" s="17"/>
      <c r="S23" s="17"/>
      <c r="T23" s="17"/>
      <c r="U23" s="17">
        <f t="shared" si="3"/>
        <v>0</v>
      </c>
      <c r="V23" s="17"/>
      <c r="W23" s="17">
        <f t="shared" si="8"/>
        <v>0</v>
      </c>
      <c r="X23" s="17"/>
      <c r="Y23" s="68" t="s">
        <v>23</v>
      </c>
      <c r="Z23" s="17"/>
      <c r="AA23" s="17"/>
      <c r="AB23" s="1"/>
      <c r="AC23" s="17"/>
      <c r="AD23" s="1"/>
      <c r="AE23" s="17"/>
      <c r="AF23" s="1"/>
      <c r="AG23" s="17">
        <f t="shared" si="4"/>
        <v>0</v>
      </c>
      <c r="AH23" s="21"/>
      <c r="AI23" s="17"/>
      <c r="AJ23" s="21"/>
      <c r="AK23" s="17"/>
      <c r="AL23" s="1"/>
      <c r="AM23" s="17"/>
      <c r="AN23" s="1"/>
      <c r="AO23" s="17"/>
      <c r="AP23" s="1"/>
      <c r="AQ23" s="17">
        <f t="shared" si="5"/>
        <v>0</v>
      </c>
      <c r="AR23" s="21"/>
      <c r="AS23" s="1">
        <v>0</v>
      </c>
      <c r="AT23" s="1"/>
      <c r="AU23" s="1">
        <v>0</v>
      </c>
      <c r="AV23" s="1"/>
      <c r="AW23" s="17">
        <f t="shared" si="6"/>
        <v>0</v>
      </c>
      <c r="AX23" s="1"/>
      <c r="AY23" s="68" t="s">
        <v>23</v>
      </c>
      <c r="AZ23" s="1"/>
      <c r="BA23" s="17"/>
      <c r="BB23" s="1"/>
      <c r="BC23" s="17"/>
      <c r="BD23" s="1"/>
      <c r="BE23" s="17"/>
      <c r="BF23" s="1"/>
      <c r="BG23" s="17"/>
      <c r="BH23" s="1"/>
      <c r="BI23" s="1"/>
      <c r="BJ23" s="1"/>
      <c r="BK23" s="17">
        <f t="shared" si="7"/>
        <v>0</v>
      </c>
      <c r="BL23" s="65"/>
    </row>
    <row r="24" spans="1:64" ht="12" customHeight="1" hidden="1">
      <c r="A24" s="63" t="s">
        <v>24</v>
      </c>
      <c r="B24" s="63"/>
      <c r="C24" s="17">
        <f t="shared" si="0"/>
        <v>0</v>
      </c>
      <c r="D24" s="17"/>
      <c r="E24" s="17">
        <v>0</v>
      </c>
      <c r="F24" s="17"/>
      <c r="G24" s="17">
        <v>0</v>
      </c>
      <c r="H24" s="17"/>
      <c r="I24" s="17">
        <f t="shared" si="1"/>
        <v>0</v>
      </c>
      <c r="J24" s="17"/>
      <c r="K24" s="17">
        <f t="shared" si="2"/>
        <v>0</v>
      </c>
      <c r="L24" s="17"/>
      <c r="M24" s="17">
        <v>0</v>
      </c>
      <c r="N24" s="17"/>
      <c r="O24" s="17">
        <v>0</v>
      </c>
      <c r="P24" s="17"/>
      <c r="Q24" s="17">
        <v>0</v>
      </c>
      <c r="R24" s="17"/>
      <c r="S24" s="17">
        <v>0</v>
      </c>
      <c r="T24" s="17"/>
      <c r="U24" s="17">
        <f t="shared" si="3"/>
        <v>0</v>
      </c>
      <c r="V24" s="17"/>
      <c r="W24" s="17">
        <f t="shared" si="8"/>
        <v>0</v>
      </c>
      <c r="X24" s="17"/>
      <c r="Y24" s="68" t="s">
        <v>24</v>
      </c>
      <c r="Z24" s="17"/>
      <c r="AA24" s="17">
        <v>0</v>
      </c>
      <c r="AB24" s="1"/>
      <c r="AC24" s="17">
        <v>0</v>
      </c>
      <c r="AD24" s="1"/>
      <c r="AE24" s="17">
        <v>0</v>
      </c>
      <c r="AF24" s="1"/>
      <c r="AG24" s="17">
        <f t="shared" si="4"/>
        <v>0</v>
      </c>
      <c r="AH24" s="21"/>
      <c r="AI24" s="17">
        <v>0</v>
      </c>
      <c r="AJ24" s="21"/>
      <c r="AK24" s="17">
        <v>0</v>
      </c>
      <c r="AL24" s="1"/>
      <c r="AM24" s="17">
        <v>0</v>
      </c>
      <c r="AN24" s="1"/>
      <c r="AO24" s="17">
        <v>0</v>
      </c>
      <c r="AP24" s="1"/>
      <c r="AQ24" s="17">
        <f t="shared" si="5"/>
        <v>0</v>
      </c>
      <c r="AR24" s="21"/>
      <c r="AS24" s="1">
        <v>0</v>
      </c>
      <c r="AT24" s="1"/>
      <c r="AU24" s="1">
        <v>0</v>
      </c>
      <c r="AV24" s="1"/>
      <c r="AW24" s="17">
        <f t="shared" si="6"/>
        <v>0</v>
      </c>
      <c r="AX24" s="1"/>
      <c r="AY24" s="68" t="s">
        <v>24</v>
      </c>
      <c r="AZ24" s="1"/>
      <c r="BA24" s="17">
        <v>0</v>
      </c>
      <c r="BB24" s="1"/>
      <c r="BC24" s="17">
        <v>0</v>
      </c>
      <c r="BD24" s="1"/>
      <c r="BE24" s="17">
        <v>0</v>
      </c>
      <c r="BF24" s="1"/>
      <c r="BG24" s="17">
        <v>0</v>
      </c>
      <c r="BH24" s="1"/>
      <c r="BI24" s="1"/>
      <c r="BJ24" s="1"/>
      <c r="BK24" s="17">
        <f t="shared" si="7"/>
        <v>0</v>
      </c>
      <c r="BL24" s="65"/>
    </row>
    <row r="25" spans="1:64" ht="12" customHeight="1">
      <c r="A25" s="63" t="s">
        <v>257</v>
      </c>
      <c r="B25" s="63"/>
      <c r="C25" s="17">
        <f t="shared" si="0"/>
        <v>247330</v>
      </c>
      <c r="D25" s="17"/>
      <c r="E25" s="17">
        <v>1377865</v>
      </c>
      <c r="F25" s="17"/>
      <c r="G25" s="17">
        <v>1625195</v>
      </c>
      <c r="H25" s="17"/>
      <c r="I25" s="17">
        <f t="shared" si="1"/>
        <v>75610</v>
      </c>
      <c r="J25" s="17"/>
      <c r="K25" s="17">
        <f t="shared" si="2"/>
        <v>755438</v>
      </c>
      <c r="L25" s="17"/>
      <c r="M25" s="17">
        <v>831048</v>
      </c>
      <c r="N25" s="17"/>
      <c r="O25" s="17">
        <v>692995</v>
      </c>
      <c r="P25" s="17"/>
      <c r="Q25" s="17">
        <v>0</v>
      </c>
      <c r="R25" s="17"/>
      <c r="S25" s="17">
        <v>101152</v>
      </c>
      <c r="T25" s="17"/>
      <c r="U25" s="17">
        <f t="shared" si="3"/>
        <v>794147</v>
      </c>
      <c r="V25" s="17"/>
      <c r="W25" s="17">
        <f t="shared" si="8"/>
        <v>0</v>
      </c>
      <c r="X25" s="17"/>
      <c r="Y25" s="68" t="s">
        <v>182</v>
      </c>
      <c r="Z25" s="17"/>
      <c r="AA25" s="17">
        <v>157097</v>
      </c>
      <c r="AB25" s="1"/>
      <c r="AC25" s="17">
        <f>67678-44358</f>
        <v>23320</v>
      </c>
      <c r="AD25" s="1"/>
      <c r="AE25" s="17">
        <v>44358</v>
      </c>
      <c r="AF25" s="1"/>
      <c r="AG25" s="17">
        <f t="shared" si="4"/>
        <v>89419</v>
      </c>
      <c r="AH25" s="21"/>
      <c r="AI25" s="17">
        <f>20000-38498</f>
        <v>-18498</v>
      </c>
      <c r="AJ25" s="21"/>
      <c r="AK25" s="17">
        <v>0</v>
      </c>
      <c r="AL25" s="1"/>
      <c r="AM25" s="17">
        <v>69503</v>
      </c>
      <c r="AN25" s="1"/>
      <c r="AO25" s="17">
        <v>0</v>
      </c>
      <c r="AP25" s="1"/>
      <c r="AQ25" s="17">
        <f t="shared" si="5"/>
        <v>1418</v>
      </c>
      <c r="AR25" s="21"/>
      <c r="AS25" s="1">
        <v>0</v>
      </c>
      <c r="AT25" s="1"/>
      <c r="AU25" s="1">
        <v>0</v>
      </c>
      <c r="AV25" s="1"/>
      <c r="AW25" s="17">
        <f t="shared" si="6"/>
        <v>171720</v>
      </c>
      <c r="AX25" s="1"/>
      <c r="AY25" s="68" t="s">
        <v>182</v>
      </c>
      <c r="AZ25" s="1"/>
      <c r="BA25" s="17">
        <v>705116</v>
      </c>
      <c r="BB25" s="1"/>
      <c r="BC25" s="17">
        <v>0</v>
      </c>
      <c r="BD25" s="1"/>
      <c r="BE25" s="17">
        <v>49578</v>
      </c>
      <c r="BF25" s="1"/>
      <c r="BG25" s="17">
        <v>744</v>
      </c>
      <c r="BH25" s="1"/>
      <c r="BI25" s="1"/>
      <c r="BJ25" s="1"/>
      <c r="BK25" s="17">
        <f t="shared" si="7"/>
        <v>755438</v>
      </c>
      <c r="BL25" s="65"/>
    </row>
    <row r="26" spans="1:64" ht="12" customHeight="1">
      <c r="A26" s="63" t="s">
        <v>25</v>
      </c>
      <c r="B26" s="63"/>
      <c r="C26" s="17">
        <f t="shared" si="0"/>
        <v>9507000</v>
      </c>
      <c r="D26" s="17"/>
      <c r="E26" s="17">
        <v>32588000</v>
      </c>
      <c r="F26" s="17"/>
      <c r="G26" s="17">
        <v>42095000</v>
      </c>
      <c r="H26" s="17"/>
      <c r="I26" s="17">
        <f t="shared" si="1"/>
        <v>949000</v>
      </c>
      <c r="J26" s="17"/>
      <c r="K26" s="17">
        <f t="shared" si="2"/>
        <v>10811000</v>
      </c>
      <c r="L26" s="17"/>
      <c r="M26" s="17">
        <v>11760000</v>
      </c>
      <c r="N26" s="17"/>
      <c r="O26" s="17">
        <v>20091000</v>
      </c>
      <c r="P26" s="17"/>
      <c r="Q26" s="17">
        <v>0</v>
      </c>
      <c r="R26" s="17"/>
      <c r="S26" s="17">
        <v>10244000</v>
      </c>
      <c r="T26" s="17"/>
      <c r="U26" s="17">
        <f t="shared" si="3"/>
        <v>30335000</v>
      </c>
      <c r="V26" s="17"/>
      <c r="W26" s="17">
        <f t="shared" si="8"/>
        <v>0</v>
      </c>
      <c r="X26" s="17"/>
      <c r="Y26" s="68" t="s">
        <v>25</v>
      </c>
      <c r="Z26" s="17"/>
      <c r="AA26" s="17">
        <v>13229000</v>
      </c>
      <c r="AB26" s="1"/>
      <c r="AC26" s="17">
        <f>11053000-1626000</f>
        <v>9427000</v>
      </c>
      <c r="AD26" s="1"/>
      <c r="AE26" s="17">
        <v>1626000</v>
      </c>
      <c r="AF26" s="1"/>
      <c r="AG26" s="17">
        <f t="shared" si="4"/>
        <v>2176000</v>
      </c>
      <c r="AH26" s="21"/>
      <c r="AI26" s="17">
        <v>-384000</v>
      </c>
      <c r="AJ26" s="21"/>
      <c r="AK26" s="17">
        <v>0</v>
      </c>
      <c r="AL26" s="1"/>
      <c r="AM26" s="17">
        <v>250000</v>
      </c>
      <c r="AN26" s="1"/>
      <c r="AO26" s="17">
        <v>60000</v>
      </c>
      <c r="AP26" s="1"/>
      <c r="AQ26" s="17">
        <f t="shared" si="5"/>
        <v>1602000</v>
      </c>
      <c r="AR26" s="21"/>
      <c r="AS26" s="1">
        <v>0</v>
      </c>
      <c r="AT26" s="1"/>
      <c r="AU26" s="1">
        <v>0</v>
      </c>
      <c r="AV26" s="1"/>
      <c r="AW26" s="17">
        <f t="shared" si="6"/>
        <v>8558000</v>
      </c>
      <c r="AX26" s="1"/>
      <c r="AY26" s="68" t="s">
        <v>25</v>
      </c>
      <c r="AZ26" s="1"/>
      <c r="BA26" s="17">
        <f>5780000+365000</f>
        <v>6145000</v>
      </c>
      <c r="BB26" s="1"/>
      <c r="BC26" s="17">
        <v>0</v>
      </c>
      <c r="BD26" s="1"/>
      <c r="BE26" s="17">
        <f>376000+4214000</f>
        <v>4590000</v>
      </c>
      <c r="BF26" s="1"/>
      <c r="BG26" s="17">
        <v>76000</v>
      </c>
      <c r="BH26" s="1"/>
      <c r="BI26" s="1"/>
      <c r="BJ26" s="1"/>
      <c r="BK26" s="17">
        <f t="shared" si="7"/>
        <v>10811000</v>
      </c>
      <c r="BL26" s="65"/>
    </row>
    <row r="27" spans="1:64" ht="12" customHeight="1">
      <c r="A27" s="63" t="s">
        <v>26</v>
      </c>
      <c r="B27" s="63"/>
      <c r="C27" s="17">
        <f aca="true" t="shared" si="9" ref="C27:C74">+G27-E27</f>
        <v>866733</v>
      </c>
      <c r="D27" s="17"/>
      <c r="E27" s="17">
        <v>44207</v>
      </c>
      <c r="F27" s="17"/>
      <c r="G27" s="17">
        <v>910940</v>
      </c>
      <c r="H27" s="17"/>
      <c r="I27" s="17">
        <f aca="true" t="shared" si="10" ref="I27:I74">M27-K27</f>
        <v>27030</v>
      </c>
      <c r="J27" s="17"/>
      <c r="K27" s="17">
        <f aca="true" t="shared" si="11" ref="K27:K74">SUM(BK27)</f>
        <v>0</v>
      </c>
      <c r="L27" s="17"/>
      <c r="M27" s="17">
        <v>27030</v>
      </c>
      <c r="N27" s="17"/>
      <c r="O27" s="17">
        <v>32507</v>
      </c>
      <c r="P27" s="17"/>
      <c r="Q27" s="17">
        <v>0</v>
      </c>
      <c r="R27" s="17"/>
      <c r="S27" s="17">
        <v>851403</v>
      </c>
      <c r="T27" s="17"/>
      <c r="U27" s="17">
        <f aca="true" t="shared" si="12" ref="U27:U74">SUM(O27:S27)</f>
        <v>883910</v>
      </c>
      <c r="V27" s="17"/>
      <c r="W27" s="17">
        <f aca="true" t="shared" si="13" ref="W27:W76">+G27-M27-U27</f>
        <v>0</v>
      </c>
      <c r="X27" s="17"/>
      <c r="Y27" s="68" t="s">
        <v>26</v>
      </c>
      <c r="Z27" s="17"/>
      <c r="AA27" s="17">
        <v>342066</v>
      </c>
      <c r="AB27" s="1"/>
      <c r="AC27" s="17">
        <f>347202-4148</f>
        <v>343054</v>
      </c>
      <c r="AD27" s="1"/>
      <c r="AE27" s="17">
        <v>4148</v>
      </c>
      <c r="AF27" s="1"/>
      <c r="AG27" s="17">
        <f aca="true" t="shared" si="14" ref="AG27:AG74">+AA27-AC27-AE27</f>
        <v>-5136</v>
      </c>
      <c r="AH27" s="21"/>
      <c r="AI27" s="17">
        <v>12838</v>
      </c>
      <c r="AJ27" s="21"/>
      <c r="AK27" s="17">
        <v>11410</v>
      </c>
      <c r="AL27" s="1"/>
      <c r="AM27" s="17">
        <v>0</v>
      </c>
      <c r="AN27" s="1"/>
      <c r="AO27" s="17">
        <v>0</v>
      </c>
      <c r="AP27" s="1"/>
      <c r="AQ27" s="17">
        <f aca="true" t="shared" si="15" ref="AQ27:AQ74">+AO27+AK27-AM27+AI27+AG27</f>
        <v>19112</v>
      </c>
      <c r="AR27" s="21"/>
      <c r="AS27" s="1">
        <v>0</v>
      </c>
      <c r="AT27" s="1"/>
      <c r="AU27" s="1">
        <v>0</v>
      </c>
      <c r="AV27" s="1"/>
      <c r="AW27" s="17">
        <f aca="true" t="shared" si="16" ref="AW27:AW74">+C27-I27</f>
        <v>839703</v>
      </c>
      <c r="AX27" s="1"/>
      <c r="AY27" s="68" t="s">
        <v>26</v>
      </c>
      <c r="AZ27" s="1"/>
      <c r="BA27" s="17">
        <v>0</v>
      </c>
      <c r="BB27" s="1"/>
      <c r="BC27" s="17">
        <v>0</v>
      </c>
      <c r="BD27" s="1"/>
      <c r="BE27" s="17">
        <v>0</v>
      </c>
      <c r="BF27" s="1"/>
      <c r="BG27" s="17">
        <v>0</v>
      </c>
      <c r="BH27" s="1"/>
      <c r="BI27" s="1"/>
      <c r="BJ27" s="1"/>
      <c r="BK27" s="17">
        <f aca="true" t="shared" si="17" ref="BK27:BK75">SUM(BA27:BI27)</f>
        <v>0</v>
      </c>
      <c r="BL27" s="65"/>
    </row>
    <row r="28" spans="1:64" ht="12" customHeight="1">
      <c r="A28" s="63" t="s">
        <v>27</v>
      </c>
      <c r="B28" s="63"/>
      <c r="C28" s="17">
        <f t="shared" si="9"/>
        <v>657259</v>
      </c>
      <c r="D28" s="17"/>
      <c r="E28" s="17">
        <v>5327132</v>
      </c>
      <c r="F28" s="17"/>
      <c r="G28" s="17">
        <v>5984391</v>
      </c>
      <c r="H28" s="17"/>
      <c r="I28" s="17">
        <f t="shared" si="10"/>
        <v>80567</v>
      </c>
      <c r="J28" s="17"/>
      <c r="K28" s="17">
        <f t="shared" si="11"/>
        <v>171487</v>
      </c>
      <c r="L28" s="17"/>
      <c r="M28" s="17">
        <v>252054</v>
      </c>
      <c r="N28" s="17"/>
      <c r="O28" s="17">
        <v>5146132</v>
      </c>
      <c r="P28" s="17"/>
      <c r="Q28" s="17">
        <v>0</v>
      </c>
      <c r="R28" s="17"/>
      <c r="S28" s="17">
        <v>586205</v>
      </c>
      <c r="T28" s="17"/>
      <c r="U28" s="17">
        <f t="shared" si="12"/>
        <v>5732337</v>
      </c>
      <c r="V28" s="17"/>
      <c r="W28" s="17">
        <f t="shared" si="13"/>
        <v>0</v>
      </c>
      <c r="X28" s="17"/>
      <c r="Y28" s="68" t="s">
        <v>27</v>
      </c>
      <c r="Z28" s="17"/>
      <c r="AA28" s="17">
        <v>516147</v>
      </c>
      <c r="AB28" s="1"/>
      <c r="AC28" s="17">
        <f>496233-100613</f>
        <v>395620</v>
      </c>
      <c r="AD28" s="1"/>
      <c r="AE28" s="17">
        <v>100613</v>
      </c>
      <c r="AF28" s="1"/>
      <c r="AG28" s="17">
        <f t="shared" si="14"/>
        <v>19914</v>
      </c>
      <c r="AH28" s="21"/>
      <c r="AI28" s="17">
        <v>100839</v>
      </c>
      <c r="AJ28" s="21"/>
      <c r="AK28" s="17">
        <v>0</v>
      </c>
      <c r="AL28" s="1"/>
      <c r="AM28" s="17">
        <v>0</v>
      </c>
      <c r="AN28" s="1"/>
      <c r="AO28" s="17">
        <v>0</v>
      </c>
      <c r="AP28" s="1"/>
      <c r="AQ28" s="17">
        <f t="shared" si="15"/>
        <v>120753</v>
      </c>
      <c r="AR28" s="21"/>
      <c r="AS28" s="1">
        <v>0</v>
      </c>
      <c r="AT28" s="1"/>
      <c r="AU28" s="1">
        <v>0</v>
      </c>
      <c r="AV28" s="1"/>
      <c r="AW28" s="17">
        <f t="shared" si="16"/>
        <v>576692</v>
      </c>
      <c r="AX28" s="1"/>
      <c r="AY28" s="68" t="s">
        <v>27</v>
      </c>
      <c r="AZ28" s="1"/>
      <c r="BA28" s="17">
        <v>25000</v>
      </c>
      <c r="BB28" s="1"/>
      <c r="BC28" s="17">
        <v>59400</v>
      </c>
      <c r="BD28" s="1"/>
      <c r="BE28" s="17">
        <v>82000</v>
      </c>
      <c r="BF28" s="1"/>
      <c r="BG28" s="17">
        <v>5087</v>
      </c>
      <c r="BH28" s="1"/>
      <c r="BI28" s="1"/>
      <c r="BJ28" s="1"/>
      <c r="BK28" s="17">
        <f t="shared" si="17"/>
        <v>171487</v>
      </c>
      <c r="BL28" s="65"/>
    </row>
    <row r="29" spans="1:64" ht="12" customHeight="1">
      <c r="A29" s="63" t="s">
        <v>28</v>
      </c>
      <c r="B29" s="63"/>
      <c r="C29" s="17">
        <f t="shared" si="9"/>
        <v>53672507</v>
      </c>
      <c r="D29" s="17"/>
      <c r="E29" s="17">
        <v>172226243</v>
      </c>
      <c r="F29" s="17"/>
      <c r="G29" s="17">
        <v>225898750</v>
      </c>
      <c r="H29" s="17"/>
      <c r="I29" s="17">
        <f t="shared" si="10"/>
        <v>5449075</v>
      </c>
      <c r="J29" s="17"/>
      <c r="K29" s="17">
        <f t="shared" si="11"/>
        <v>46384480</v>
      </c>
      <c r="L29" s="17"/>
      <c r="M29" s="17">
        <v>51833555</v>
      </c>
      <c r="N29" s="17"/>
      <c r="O29" s="17">
        <v>121954166</v>
      </c>
      <c r="P29" s="17"/>
      <c r="Q29" s="17">
        <v>0</v>
      </c>
      <c r="R29" s="17"/>
      <c r="S29" s="17">
        <v>52021029</v>
      </c>
      <c r="T29" s="17"/>
      <c r="U29" s="17">
        <f t="shared" si="12"/>
        <v>173975195</v>
      </c>
      <c r="V29" s="17"/>
      <c r="W29" s="17">
        <f t="shared" si="13"/>
        <v>90000</v>
      </c>
      <c r="X29" s="17"/>
      <c r="Y29" s="68" t="s">
        <v>28</v>
      </c>
      <c r="Z29" s="17"/>
      <c r="AA29" s="17">
        <v>12323833</v>
      </c>
      <c r="AB29" s="1"/>
      <c r="AC29" s="17">
        <f>13129901-5789714</f>
        <v>7340187</v>
      </c>
      <c r="AD29" s="1"/>
      <c r="AE29" s="17">
        <v>5789714</v>
      </c>
      <c r="AF29" s="1"/>
      <c r="AG29" s="17">
        <f t="shared" si="14"/>
        <v>-806068</v>
      </c>
      <c r="AH29" s="21"/>
      <c r="AI29" s="17">
        <v>-1819107</v>
      </c>
      <c r="AJ29" s="21"/>
      <c r="AK29" s="17">
        <v>60000</v>
      </c>
      <c r="AL29" s="1"/>
      <c r="AM29" s="17">
        <v>0</v>
      </c>
      <c r="AN29" s="1"/>
      <c r="AO29" s="17">
        <v>15073099</v>
      </c>
      <c r="AP29" s="1"/>
      <c r="AQ29" s="17">
        <f t="shared" si="15"/>
        <v>12507924</v>
      </c>
      <c r="AR29" s="21"/>
      <c r="AS29" s="1">
        <v>0</v>
      </c>
      <c r="AT29" s="1"/>
      <c r="AU29" s="1">
        <v>0</v>
      </c>
      <c r="AV29" s="1"/>
      <c r="AW29" s="17">
        <f t="shared" si="16"/>
        <v>48223432</v>
      </c>
      <c r="AX29" s="1"/>
      <c r="AY29" s="68" t="s">
        <v>28</v>
      </c>
      <c r="AZ29" s="1"/>
      <c r="BA29" s="17">
        <v>46287077</v>
      </c>
      <c r="BB29" s="1"/>
      <c r="BC29" s="17">
        <v>0</v>
      </c>
      <c r="BD29" s="1"/>
      <c r="BE29" s="17">
        <v>0</v>
      </c>
      <c r="BF29" s="1"/>
      <c r="BG29" s="17">
        <v>97403</v>
      </c>
      <c r="BH29" s="1"/>
      <c r="BI29" s="1"/>
      <c r="BJ29" s="1"/>
      <c r="BK29" s="17">
        <f t="shared" si="17"/>
        <v>46384480</v>
      </c>
      <c r="BL29" s="65"/>
    </row>
    <row r="30" spans="1:64" ht="12" customHeight="1">
      <c r="A30" s="63" t="s">
        <v>29</v>
      </c>
      <c r="B30" s="63"/>
      <c r="C30" s="17">
        <f t="shared" si="9"/>
        <v>7340341</v>
      </c>
      <c r="D30" s="17"/>
      <c r="E30" s="17">
        <v>59381006</v>
      </c>
      <c r="F30" s="17"/>
      <c r="G30" s="17">
        <v>66721347</v>
      </c>
      <c r="H30" s="17"/>
      <c r="I30" s="17">
        <f t="shared" si="10"/>
        <v>8954954</v>
      </c>
      <c r="J30" s="17"/>
      <c r="K30" s="17">
        <f t="shared" si="11"/>
        <v>27738731</v>
      </c>
      <c r="L30" s="17"/>
      <c r="M30" s="17">
        <v>36693685</v>
      </c>
      <c r="N30" s="17"/>
      <c r="O30" s="17">
        <v>31816596</v>
      </c>
      <c r="P30" s="17"/>
      <c r="Q30" s="17">
        <v>0</v>
      </c>
      <c r="R30" s="17"/>
      <c r="S30" s="17">
        <v>-1788934</v>
      </c>
      <c r="T30" s="17"/>
      <c r="U30" s="17">
        <f t="shared" si="12"/>
        <v>30027662</v>
      </c>
      <c r="V30" s="17"/>
      <c r="W30" s="17">
        <f t="shared" si="13"/>
        <v>0</v>
      </c>
      <c r="X30" s="17"/>
      <c r="Y30" s="68" t="s">
        <v>29</v>
      </c>
      <c r="Z30" s="17"/>
      <c r="AA30" s="17">
        <v>7520064</v>
      </c>
      <c r="AB30" s="1"/>
      <c r="AC30" s="17">
        <f>15020631-1898861</f>
        <v>13121770</v>
      </c>
      <c r="AD30" s="1"/>
      <c r="AE30" s="17">
        <v>1898861</v>
      </c>
      <c r="AF30" s="1"/>
      <c r="AG30" s="17">
        <f t="shared" si="14"/>
        <v>-7500567</v>
      </c>
      <c r="AH30" s="21"/>
      <c r="AI30" s="17">
        <v>-1183775</v>
      </c>
      <c r="AJ30" s="21"/>
      <c r="AK30" s="17">
        <v>104013</v>
      </c>
      <c r="AL30" s="1"/>
      <c r="AM30" s="17">
        <v>0</v>
      </c>
      <c r="AN30" s="1"/>
      <c r="AO30" s="17">
        <v>3725459</v>
      </c>
      <c r="AP30" s="1"/>
      <c r="AQ30" s="17">
        <f t="shared" si="15"/>
        <v>-4854870</v>
      </c>
      <c r="AR30" s="21"/>
      <c r="AS30" s="1">
        <v>0</v>
      </c>
      <c r="AT30" s="1"/>
      <c r="AU30" s="1">
        <v>0</v>
      </c>
      <c r="AV30" s="1"/>
      <c r="AW30" s="17">
        <f t="shared" si="16"/>
        <v>-1614613</v>
      </c>
      <c r="AX30" s="1"/>
      <c r="AY30" s="68" t="s">
        <v>29</v>
      </c>
      <c r="AZ30" s="1"/>
      <c r="BA30" s="17">
        <f>500000+6142653</f>
        <v>6642653</v>
      </c>
      <c r="BB30" s="1"/>
      <c r="BC30" s="17">
        <f>1065000+55000</f>
        <v>1120000</v>
      </c>
      <c r="BD30" s="1"/>
      <c r="BE30" s="17">
        <f>644055+70318+18869681+285356</f>
        <v>19869410</v>
      </c>
      <c r="BF30" s="1"/>
      <c r="BG30" s="17">
        <f>24411+82257</f>
        <v>106668</v>
      </c>
      <c r="BH30" s="1"/>
      <c r="BI30" s="1"/>
      <c r="BJ30" s="1"/>
      <c r="BK30" s="17">
        <f t="shared" si="17"/>
        <v>27738731</v>
      </c>
      <c r="BL30" s="65"/>
    </row>
    <row r="31" spans="1:75" ht="12" customHeight="1">
      <c r="A31" s="63" t="s">
        <v>30</v>
      </c>
      <c r="B31" s="63"/>
      <c r="C31" s="17">
        <f t="shared" si="9"/>
        <v>4975019</v>
      </c>
      <c r="D31" s="17"/>
      <c r="E31" s="17">
        <v>31015044</v>
      </c>
      <c r="F31" s="17"/>
      <c r="G31" s="17">
        <v>35990063</v>
      </c>
      <c r="H31" s="17"/>
      <c r="I31" s="17">
        <f t="shared" si="10"/>
        <v>898466</v>
      </c>
      <c r="J31" s="17"/>
      <c r="K31" s="17">
        <f t="shared" si="11"/>
        <v>14732873</v>
      </c>
      <c r="L31" s="17"/>
      <c r="M31" s="17">
        <v>15631339</v>
      </c>
      <c r="N31" s="17"/>
      <c r="O31" s="17">
        <v>15958585</v>
      </c>
      <c r="P31" s="17"/>
      <c r="Q31" s="17">
        <v>0</v>
      </c>
      <c r="R31" s="17"/>
      <c r="S31" s="17">
        <v>4400139</v>
      </c>
      <c r="T31" s="17"/>
      <c r="U31" s="17">
        <f t="shared" si="12"/>
        <v>20358724</v>
      </c>
      <c r="V31" s="17"/>
      <c r="W31" s="17">
        <f t="shared" si="13"/>
        <v>0</v>
      </c>
      <c r="X31" s="17"/>
      <c r="Y31" s="68" t="s">
        <v>30</v>
      </c>
      <c r="Z31" s="17"/>
      <c r="AA31" s="17">
        <v>3024489</v>
      </c>
      <c r="AB31" s="1"/>
      <c r="AC31" s="17">
        <f>2393343-676843</f>
        <v>1716500</v>
      </c>
      <c r="AD31" s="1"/>
      <c r="AE31" s="17">
        <v>676843</v>
      </c>
      <c r="AF31" s="1"/>
      <c r="AG31" s="17">
        <f t="shared" si="14"/>
        <v>631146</v>
      </c>
      <c r="AH31" s="21"/>
      <c r="AI31" s="17">
        <v>-569001</v>
      </c>
      <c r="AJ31" s="21"/>
      <c r="AK31" s="17">
        <v>0</v>
      </c>
      <c r="AL31" s="1"/>
      <c r="AM31" s="17">
        <v>21500</v>
      </c>
      <c r="AN31" s="1"/>
      <c r="AO31" s="17">
        <v>859879</v>
      </c>
      <c r="AP31" s="1"/>
      <c r="AQ31" s="17">
        <f t="shared" si="15"/>
        <v>900524</v>
      </c>
      <c r="AR31" s="21"/>
      <c r="AS31" s="1">
        <v>0</v>
      </c>
      <c r="AT31" s="1"/>
      <c r="AU31" s="1">
        <v>0</v>
      </c>
      <c r="AV31" s="1"/>
      <c r="AW31" s="17">
        <f t="shared" si="16"/>
        <v>4076553</v>
      </c>
      <c r="AX31" s="1"/>
      <c r="AY31" s="68" t="s">
        <v>30</v>
      </c>
      <c r="AZ31" s="1"/>
      <c r="BA31" s="17">
        <f>13078772</f>
        <v>13078772</v>
      </c>
      <c r="BB31" s="1"/>
      <c r="BC31" s="17">
        <v>0</v>
      </c>
      <c r="BD31" s="1"/>
      <c r="BE31" s="17">
        <f>70600+1361038</f>
        <v>1431638</v>
      </c>
      <c r="BF31" s="1"/>
      <c r="BG31" s="17">
        <f>141568+68264+12631</f>
        <v>222463</v>
      </c>
      <c r="BH31" s="1"/>
      <c r="BI31" s="1"/>
      <c r="BJ31" s="1"/>
      <c r="BK31" s="17">
        <f t="shared" si="17"/>
        <v>14732873</v>
      </c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</row>
    <row r="32" spans="1:64" ht="12" customHeight="1" hidden="1">
      <c r="A32" s="63" t="s">
        <v>253</v>
      </c>
      <c r="B32" s="63"/>
      <c r="C32" s="17">
        <f t="shared" si="9"/>
        <v>0</v>
      </c>
      <c r="D32" s="17"/>
      <c r="E32" s="17">
        <v>0</v>
      </c>
      <c r="F32" s="17"/>
      <c r="G32" s="17">
        <v>0</v>
      </c>
      <c r="H32" s="17"/>
      <c r="I32" s="17">
        <f t="shared" si="10"/>
        <v>0</v>
      </c>
      <c r="J32" s="17"/>
      <c r="K32" s="17">
        <f t="shared" si="11"/>
        <v>0</v>
      </c>
      <c r="L32" s="17"/>
      <c r="M32" s="17">
        <v>0</v>
      </c>
      <c r="N32" s="17"/>
      <c r="O32" s="17">
        <v>0</v>
      </c>
      <c r="P32" s="17"/>
      <c r="Q32" s="17">
        <v>0</v>
      </c>
      <c r="R32" s="17"/>
      <c r="S32" s="17">
        <v>0</v>
      </c>
      <c r="T32" s="17"/>
      <c r="U32" s="17">
        <f t="shared" si="12"/>
        <v>0</v>
      </c>
      <c r="V32" s="17"/>
      <c r="W32" s="17">
        <f t="shared" si="13"/>
        <v>0</v>
      </c>
      <c r="X32" s="17"/>
      <c r="Y32" s="68" t="s">
        <v>253</v>
      </c>
      <c r="Z32" s="17"/>
      <c r="AA32" s="17">
        <v>0</v>
      </c>
      <c r="AB32" s="1"/>
      <c r="AC32" s="17">
        <v>0</v>
      </c>
      <c r="AD32" s="1"/>
      <c r="AE32" s="17">
        <v>0</v>
      </c>
      <c r="AF32" s="1"/>
      <c r="AG32" s="17">
        <f t="shared" si="14"/>
        <v>0</v>
      </c>
      <c r="AH32" s="21"/>
      <c r="AI32" s="17">
        <v>0</v>
      </c>
      <c r="AJ32" s="21"/>
      <c r="AK32" s="17">
        <v>0</v>
      </c>
      <c r="AL32" s="1"/>
      <c r="AM32" s="17">
        <v>0</v>
      </c>
      <c r="AN32" s="1"/>
      <c r="AO32" s="17">
        <v>0</v>
      </c>
      <c r="AP32" s="1"/>
      <c r="AQ32" s="17">
        <f t="shared" si="15"/>
        <v>0</v>
      </c>
      <c r="AR32" s="21"/>
      <c r="AS32" s="1">
        <v>0</v>
      </c>
      <c r="AT32" s="1"/>
      <c r="AU32" s="1">
        <v>0</v>
      </c>
      <c r="AV32" s="1"/>
      <c r="AW32" s="17">
        <f t="shared" si="16"/>
        <v>0</v>
      </c>
      <c r="AX32" s="17"/>
      <c r="AY32" s="68" t="s">
        <v>253</v>
      </c>
      <c r="AZ32" s="17"/>
      <c r="BA32" s="17">
        <v>0</v>
      </c>
      <c r="BB32" s="1"/>
      <c r="BC32" s="17">
        <v>0</v>
      </c>
      <c r="BD32" s="1"/>
      <c r="BE32" s="17">
        <v>0</v>
      </c>
      <c r="BF32" s="1"/>
      <c r="BG32" s="17">
        <v>0</v>
      </c>
      <c r="BH32" s="1"/>
      <c r="BI32" s="1"/>
      <c r="BJ32" s="1"/>
      <c r="BK32" s="17">
        <f t="shared" si="17"/>
        <v>0</v>
      </c>
      <c r="BL32" s="65"/>
    </row>
    <row r="33" spans="1:64" ht="12" customHeight="1">
      <c r="A33" s="63" t="s">
        <v>32</v>
      </c>
      <c r="B33" s="63"/>
      <c r="C33" s="17">
        <f t="shared" si="9"/>
        <v>4770000</v>
      </c>
      <c r="D33" s="17"/>
      <c r="E33" s="17">
        <v>21170000</v>
      </c>
      <c r="F33" s="17"/>
      <c r="G33" s="17">
        <v>25940000</v>
      </c>
      <c r="H33" s="17"/>
      <c r="I33" s="17">
        <f t="shared" si="10"/>
        <v>1773000</v>
      </c>
      <c r="J33" s="17"/>
      <c r="K33" s="17">
        <f t="shared" si="11"/>
        <v>6881000</v>
      </c>
      <c r="L33" s="17"/>
      <c r="M33" s="17">
        <v>8654000</v>
      </c>
      <c r="N33" s="17"/>
      <c r="O33" s="17">
        <v>14418000</v>
      </c>
      <c r="P33" s="17"/>
      <c r="Q33" s="17">
        <v>0</v>
      </c>
      <c r="R33" s="17"/>
      <c r="S33" s="17">
        <v>2868000</v>
      </c>
      <c r="T33" s="17"/>
      <c r="U33" s="17">
        <f t="shared" si="12"/>
        <v>17286000</v>
      </c>
      <c r="V33" s="17"/>
      <c r="W33" s="17">
        <f t="shared" si="13"/>
        <v>0</v>
      </c>
      <c r="X33" s="17"/>
      <c r="Y33" s="68" t="s">
        <v>32</v>
      </c>
      <c r="Z33" s="17"/>
      <c r="AA33" s="17">
        <v>4672000</v>
      </c>
      <c r="AB33" s="1"/>
      <c r="AC33" s="17">
        <f>4628000-430000</f>
        <v>4198000</v>
      </c>
      <c r="AD33" s="1"/>
      <c r="AE33" s="17">
        <v>430000</v>
      </c>
      <c r="AF33" s="1"/>
      <c r="AG33" s="17">
        <f t="shared" si="14"/>
        <v>44000</v>
      </c>
      <c r="AH33" s="21"/>
      <c r="AI33" s="17">
        <v>-180000</v>
      </c>
      <c r="AJ33" s="21"/>
      <c r="AK33" s="17">
        <v>0</v>
      </c>
      <c r="AL33" s="1"/>
      <c r="AM33" s="17">
        <v>0</v>
      </c>
      <c r="AN33" s="1"/>
      <c r="AO33" s="17">
        <v>1329000</v>
      </c>
      <c r="AP33" s="1"/>
      <c r="AQ33" s="17">
        <f t="shared" si="15"/>
        <v>1193000</v>
      </c>
      <c r="AR33" s="21"/>
      <c r="AS33" s="1">
        <v>0</v>
      </c>
      <c r="AT33" s="1"/>
      <c r="AU33" s="1">
        <v>0</v>
      </c>
      <c r="AV33" s="1"/>
      <c r="AW33" s="17">
        <f t="shared" si="16"/>
        <v>2997000</v>
      </c>
      <c r="AX33" s="17"/>
      <c r="AY33" s="68" t="s">
        <v>32</v>
      </c>
      <c r="AZ33" s="17"/>
      <c r="BA33" s="17">
        <v>0</v>
      </c>
      <c r="BB33" s="1"/>
      <c r="BC33" s="17">
        <v>0</v>
      </c>
      <c r="BD33" s="1"/>
      <c r="BE33" s="17">
        <v>0</v>
      </c>
      <c r="BF33" s="1"/>
      <c r="BG33" s="17">
        <f>343000+129000+6409000</f>
        <v>6881000</v>
      </c>
      <c r="BH33" s="1"/>
      <c r="BI33" s="1"/>
      <c r="BJ33" s="1"/>
      <c r="BK33" s="17">
        <f t="shared" si="17"/>
        <v>6881000</v>
      </c>
      <c r="BL33" s="65"/>
    </row>
    <row r="34" spans="1:64" ht="12" customHeight="1">
      <c r="A34" s="63" t="s">
        <v>33</v>
      </c>
      <c r="B34" s="63"/>
      <c r="C34" s="17">
        <f t="shared" si="9"/>
        <v>1992110</v>
      </c>
      <c r="D34" s="17"/>
      <c r="E34" s="17">
        <v>5340868</v>
      </c>
      <c r="F34" s="17"/>
      <c r="G34" s="17">
        <v>7332978</v>
      </c>
      <c r="H34" s="17"/>
      <c r="I34" s="17">
        <f t="shared" si="10"/>
        <v>550882</v>
      </c>
      <c r="J34" s="17"/>
      <c r="K34" s="17">
        <f t="shared" si="11"/>
        <v>1261921</v>
      </c>
      <c r="L34" s="17"/>
      <c r="M34" s="17">
        <v>1812803</v>
      </c>
      <c r="N34" s="17"/>
      <c r="O34" s="17">
        <v>3904588</v>
      </c>
      <c r="P34" s="17"/>
      <c r="Q34" s="17">
        <v>0</v>
      </c>
      <c r="R34" s="17"/>
      <c r="S34" s="17">
        <v>1615587</v>
      </c>
      <c r="T34" s="17"/>
      <c r="U34" s="17">
        <f t="shared" si="12"/>
        <v>5520175</v>
      </c>
      <c r="V34" s="17"/>
      <c r="W34" s="17">
        <f t="shared" si="13"/>
        <v>0</v>
      </c>
      <c r="X34" s="17"/>
      <c r="Y34" s="68" t="s">
        <v>33</v>
      </c>
      <c r="Z34" s="17"/>
      <c r="AA34" s="17">
        <v>460757</v>
      </c>
      <c r="AB34" s="1"/>
      <c r="AC34" s="17">
        <f>719646-102595</f>
        <v>617051</v>
      </c>
      <c r="AD34" s="1"/>
      <c r="AE34" s="17">
        <v>102595</v>
      </c>
      <c r="AF34" s="1"/>
      <c r="AG34" s="17">
        <f t="shared" si="14"/>
        <v>-258889</v>
      </c>
      <c r="AH34" s="21"/>
      <c r="AI34" s="17">
        <v>712443</v>
      </c>
      <c r="AJ34" s="21"/>
      <c r="AK34" s="17">
        <v>0</v>
      </c>
      <c r="AL34" s="1"/>
      <c r="AM34" s="17">
        <v>0</v>
      </c>
      <c r="AN34" s="1"/>
      <c r="AO34" s="17">
        <v>1049191</v>
      </c>
      <c r="AP34" s="1"/>
      <c r="AQ34" s="17">
        <f t="shared" si="15"/>
        <v>1502745</v>
      </c>
      <c r="AR34" s="21"/>
      <c r="AS34" s="1">
        <v>0</v>
      </c>
      <c r="AT34" s="1"/>
      <c r="AU34" s="1">
        <v>0</v>
      </c>
      <c r="AV34" s="1"/>
      <c r="AW34" s="17">
        <f t="shared" si="16"/>
        <v>1441228</v>
      </c>
      <c r="AX34" s="1"/>
      <c r="AY34" s="68" t="s">
        <v>33</v>
      </c>
      <c r="AZ34" s="1"/>
      <c r="BA34" s="17">
        <v>0</v>
      </c>
      <c r="BB34" s="1"/>
      <c r="BC34" s="17">
        <v>0</v>
      </c>
      <c r="BD34" s="1"/>
      <c r="BE34" s="17">
        <v>793898</v>
      </c>
      <c r="BF34" s="1"/>
      <c r="BG34" s="17">
        <f>1371+466652</f>
        <v>468023</v>
      </c>
      <c r="BH34" s="1"/>
      <c r="BI34" s="1"/>
      <c r="BJ34" s="1"/>
      <c r="BK34" s="17">
        <f t="shared" si="17"/>
        <v>1261921</v>
      </c>
      <c r="BL34" s="65"/>
    </row>
    <row r="35" spans="1:64" ht="12" customHeight="1">
      <c r="A35" s="63" t="s">
        <v>34</v>
      </c>
      <c r="B35" s="63"/>
      <c r="C35" s="17">
        <f t="shared" si="9"/>
        <v>446425</v>
      </c>
      <c r="D35" s="17"/>
      <c r="E35" s="17">
        <v>4169803</v>
      </c>
      <c r="F35" s="17"/>
      <c r="G35" s="17">
        <v>4616228</v>
      </c>
      <c r="H35" s="17"/>
      <c r="I35" s="17">
        <f t="shared" si="10"/>
        <v>102233</v>
      </c>
      <c r="J35" s="17"/>
      <c r="K35" s="17">
        <f t="shared" si="11"/>
        <v>1963550</v>
      </c>
      <c r="L35" s="17"/>
      <c r="M35" s="17">
        <v>2065783</v>
      </c>
      <c r="N35" s="17"/>
      <c r="O35" s="17">
        <v>2168453</v>
      </c>
      <c r="P35" s="17"/>
      <c r="Q35" s="17">
        <v>0</v>
      </c>
      <c r="R35" s="17"/>
      <c r="S35" s="17">
        <v>381992</v>
      </c>
      <c r="T35" s="17"/>
      <c r="U35" s="17">
        <f t="shared" si="12"/>
        <v>2550445</v>
      </c>
      <c r="V35" s="17"/>
      <c r="W35" s="17">
        <f t="shared" si="13"/>
        <v>0</v>
      </c>
      <c r="X35" s="17"/>
      <c r="Y35" s="68" t="s">
        <v>34</v>
      </c>
      <c r="Z35" s="17"/>
      <c r="AA35" s="17">
        <v>185099</v>
      </c>
      <c r="AB35" s="1"/>
      <c r="AC35" s="17">
        <f>239399-146219</f>
        <v>93180</v>
      </c>
      <c r="AD35" s="1"/>
      <c r="AE35" s="17">
        <v>146219</v>
      </c>
      <c r="AF35" s="1"/>
      <c r="AG35" s="17">
        <f t="shared" si="14"/>
        <v>-54300</v>
      </c>
      <c r="AH35" s="21"/>
      <c r="AI35" s="17">
        <v>-62304</v>
      </c>
      <c r="AJ35" s="21"/>
      <c r="AK35" s="17">
        <v>0</v>
      </c>
      <c r="AL35" s="1"/>
      <c r="AM35" s="17">
        <v>0</v>
      </c>
      <c r="AN35" s="1"/>
      <c r="AO35" s="17">
        <v>0</v>
      </c>
      <c r="AP35" s="1"/>
      <c r="AQ35" s="17">
        <f t="shared" si="15"/>
        <v>-116604</v>
      </c>
      <c r="AR35" s="21"/>
      <c r="AS35" s="1">
        <v>0</v>
      </c>
      <c r="AT35" s="1"/>
      <c r="AU35" s="1">
        <v>0</v>
      </c>
      <c r="AV35" s="1"/>
      <c r="AW35" s="17">
        <f t="shared" si="16"/>
        <v>344192</v>
      </c>
      <c r="AX35" s="1"/>
      <c r="AY35" s="68" t="s">
        <v>34</v>
      </c>
      <c r="AZ35" s="1"/>
      <c r="BA35" s="17">
        <v>0</v>
      </c>
      <c r="BB35" s="1"/>
      <c r="BC35" s="17">
        <v>1796800</v>
      </c>
      <c r="BD35" s="1"/>
      <c r="BE35" s="17">
        <v>166750</v>
      </c>
      <c r="BF35" s="1"/>
      <c r="BG35" s="17">
        <v>0</v>
      </c>
      <c r="BH35" s="1"/>
      <c r="BI35" s="1"/>
      <c r="BJ35" s="1"/>
      <c r="BK35" s="17">
        <f t="shared" si="17"/>
        <v>1963550</v>
      </c>
      <c r="BL35" s="65"/>
    </row>
    <row r="36" spans="1:64" ht="12" customHeight="1" hidden="1">
      <c r="A36" s="63" t="s">
        <v>35</v>
      </c>
      <c r="B36" s="63"/>
      <c r="C36" s="17">
        <f t="shared" si="9"/>
        <v>0</v>
      </c>
      <c r="D36" s="17"/>
      <c r="E36" s="17">
        <v>0</v>
      </c>
      <c r="F36" s="17"/>
      <c r="G36" s="17">
        <v>0</v>
      </c>
      <c r="H36" s="17"/>
      <c r="I36" s="17">
        <f t="shared" si="10"/>
        <v>0</v>
      </c>
      <c r="J36" s="17"/>
      <c r="K36" s="17">
        <f t="shared" si="11"/>
        <v>0</v>
      </c>
      <c r="L36" s="17"/>
      <c r="M36" s="17">
        <v>0</v>
      </c>
      <c r="N36" s="17"/>
      <c r="O36" s="17">
        <v>0</v>
      </c>
      <c r="P36" s="17"/>
      <c r="Q36" s="17">
        <v>0</v>
      </c>
      <c r="R36" s="17"/>
      <c r="S36" s="17">
        <v>0</v>
      </c>
      <c r="T36" s="17"/>
      <c r="U36" s="17">
        <f t="shared" si="12"/>
        <v>0</v>
      </c>
      <c r="V36" s="17"/>
      <c r="W36" s="17">
        <f t="shared" si="13"/>
        <v>0</v>
      </c>
      <c r="X36" s="17"/>
      <c r="Y36" s="68" t="s">
        <v>35</v>
      </c>
      <c r="Z36" s="17"/>
      <c r="AA36" s="17">
        <v>0</v>
      </c>
      <c r="AB36" s="1"/>
      <c r="AC36" s="17">
        <v>0</v>
      </c>
      <c r="AD36" s="1"/>
      <c r="AE36" s="17">
        <v>0</v>
      </c>
      <c r="AF36" s="1"/>
      <c r="AG36" s="17">
        <f t="shared" si="14"/>
        <v>0</v>
      </c>
      <c r="AH36" s="21"/>
      <c r="AI36" s="17">
        <v>0</v>
      </c>
      <c r="AJ36" s="21"/>
      <c r="AK36" s="17">
        <v>0</v>
      </c>
      <c r="AL36" s="1"/>
      <c r="AM36" s="17">
        <v>0</v>
      </c>
      <c r="AN36" s="1"/>
      <c r="AO36" s="17">
        <v>0</v>
      </c>
      <c r="AP36" s="1"/>
      <c r="AQ36" s="17">
        <f t="shared" si="15"/>
        <v>0</v>
      </c>
      <c r="AR36" s="21"/>
      <c r="AS36" s="1">
        <v>0</v>
      </c>
      <c r="AT36" s="1"/>
      <c r="AU36" s="1">
        <v>0</v>
      </c>
      <c r="AV36" s="1"/>
      <c r="AW36" s="17">
        <f t="shared" si="16"/>
        <v>0</v>
      </c>
      <c r="AX36" s="17"/>
      <c r="AY36" s="68" t="s">
        <v>35</v>
      </c>
      <c r="AZ36" s="17"/>
      <c r="BA36" s="17">
        <v>0</v>
      </c>
      <c r="BB36" s="1"/>
      <c r="BC36" s="17">
        <v>0</v>
      </c>
      <c r="BD36" s="1"/>
      <c r="BE36" s="17">
        <v>0</v>
      </c>
      <c r="BF36" s="1"/>
      <c r="BG36" s="17">
        <v>0</v>
      </c>
      <c r="BH36" s="1"/>
      <c r="BI36" s="1"/>
      <c r="BJ36" s="1"/>
      <c r="BK36" s="17">
        <f t="shared" si="17"/>
        <v>0</v>
      </c>
      <c r="BL36" s="65"/>
    </row>
    <row r="37" spans="1:64" ht="12" customHeight="1">
      <c r="A37" s="63" t="s">
        <v>185</v>
      </c>
      <c r="B37" s="63"/>
      <c r="C37" s="17">
        <f t="shared" si="9"/>
        <v>17159809</v>
      </c>
      <c r="D37" s="17"/>
      <c r="E37" s="17">
        <v>155413319</v>
      </c>
      <c r="F37" s="17"/>
      <c r="G37" s="17">
        <v>172573128</v>
      </c>
      <c r="H37" s="17"/>
      <c r="I37" s="17">
        <f t="shared" si="10"/>
        <v>15896494</v>
      </c>
      <c r="J37" s="17"/>
      <c r="K37" s="17">
        <f t="shared" si="11"/>
        <v>99149916</v>
      </c>
      <c r="L37" s="17"/>
      <c r="M37" s="17">
        <v>115046410</v>
      </c>
      <c r="N37" s="17"/>
      <c r="O37" s="17">
        <v>45239275</v>
      </c>
      <c r="P37" s="17"/>
      <c r="Q37" s="17">
        <v>388081</v>
      </c>
      <c r="R37" s="17"/>
      <c r="S37" s="17">
        <v>11899362</v>
      </c>
      <c r="T37" s="17"/>
      <c r="U37" s="17">
        <f t="shared" si="12"/>
        <v>57526718</v>
      </c>
      <c r="V37" s="17"/>
      <c r="W37" s="17">
        <f t="shared" si="13"/>
        <v>0</v>
      </c>
      <c r="X37" s="17"/>
      <c r="Y37" s="68" t="s">
        <v>185</v>
      </c>
      <c r="Z37" s="17"/>
      <c r="AA37" s="17">
        <v>16118201</v>
      </c>
      <c r="AB37" s="1"/>
      <c r="AC37" s="17">
        <f>9290362-2836269</f>
        <v>6454093</v>
      </c>
      <c r="AD37" s="1"/>
      <c r="AE37" s="17">
        <v>2836269</v>
      </c>
      <c r="AF37" s="1"/>
      <c r="AG37" s="17">
        <f t="shared" si="14"/>
        <v>6827839</v>
      </c>
      <c r="AH37" s="21"/>
      <c r="AI37" s="17">
        <v>-4946060</v>
      </c>
      <c r="AJ37" s="21"/>
      <c r="AK37" s="17">
        <v>326496</v>
      </c>
      <c r="AL37" s="1"/>
      <c r="AM37" s="17">
        <v>2283</v>
      </c>
      <c r="AN37" s="1"/>
      <c r="AO37" s="17">
        <v>1256045</v>
      </c>
      <c r="AP37" s="1"/>
      <c r="AQ37" s="17">
        <f t="shared" si="15"/>
        <v>3462037</v>
      </c>
      <c r="AR37" s="21"/>
      <c r="AS37" s="1">
        <v>0</v>
      </c>
      <c r="AT37" s="1"/>
      <c r="AU37" s="1">
        <v>0</v>
      </c>
      <c r="AV37" s="1"/>
      <c r="AW37" s="17">
        <f t="shared" si="16"/>
        <v>1263315</v>
      </c>
      <c r="AX37" s="1"/>
      <c r="AY37" s="68" t="s">
        <v>185</v>
      </c>
      <c r="AZ37" s="1"/>
      <c r="BA37" s="17">
        <v>1895000</v>
      </c>
      <c r="BB37" s="1"/>
      <c r="BC37" s="17">
        <v>11100640</v>
      </c>
      <c r="BD37" s="1"/>
      <c r="BE37" s="17">
        <f>11512434+1164426</f>
        <v>12676860</v>
      </c>
      <c r="BF37" s="1"/>
      <c r="BG37" s="17">
        <f>71029881+2447535</f>
        <v>73477416</v>
      </c>
      <c r="BH37" s="1"/>
      <c r="BI37" s="1"/>
      <c r="BJ37" s="1"/>
      <c r="BK37" s="17">
        <f t="shared" si="17"/>
        <v>99149916</v>
      </c>
      <c r="BL37" s="65"/>
    </row>
    <row r="38" spans="1:64" ht="12" customHeight="1" hidden="1">
      <c r="A38" s="63" t="s">
        <v>258</v>
      </c>
      <c r="B38" s="63"/>
      <c r="C38" s="17">
        <f t="shared" si="9"/>
        <v>0</v>
      </c>
      <c r="D38" s="17"/>
      <c r="E38" s="17"/>
      <c r="F38" s="17"/>
      <c r="G38" s="17"/>
      <c r="H38" s="17"/>
      <c r="I38" s="17">
        <f t="shared" si="10"/>
        <v>0</v>
      </c>
      <c r="J38" s="17"/>
      <c r="K38" s="17">
        <f t="shared" si="11"/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>
        <f t="shared" si="12"/>
        <v>0</v>
      </c>
      <c r="V38" s="17"/>
      <c r="W38" s="17">
        <f t="shared" si="13"/>
        <v>0</v>
      </c>
      <c r="X38" s="17"/>
      <c r="Y38" s="68" t="s">
        <v>36</v>
      </c>
      <c r="Z38" s="17"/>
      <c r="AA38" s="17"/>
      <c r="AB38" s="1"/>
      <c r="AC38" s="17"/>
      <c r="AD38" s="1"/>
      <c r="AE38" s="17"/>
      <c r="AF38" s="1"/>
      <c r="AG38" s="17">
        <f t="shared" si="14"/>
        <v>0</v>
      </c>
      <c r="AH38" s="21"/>
      <c r="AI38" s="17"/>
      <c r="AJ38" s="21"/>
      <c r="AK38" s="17"/>
      <c r="AL38" s="1"/>
      <c r="AM38" s="17"/>
      <c r="AN38" s="1"/>
      <c r="AO38" s="17"/>
      <c r="AP38" s="1"/>
      <c r="AQ38" s="17">
        <f t="shared" si="15"/>
        <v>0</v>
      </c>
      <c r="AR38" s="21"/>
      <c r="AS38" s="1">
        <v>0</v>
      </c>
      <c r="AT38" s="1"/>
      <c r="AU38" s="1">
        <v>0</v>
      </c>
      <c r="AV38" s="1"/>
      <c r="AW38" s="17">
        <f t="shared" si="16"/>
        <v>0</v>
      </c>
      <c r="AX38" s="1"/>
      <c r="AY38" s="68" t="s">
        <v>36</v>
      </c>
      <c r="AZ38" s="1"/>
      <c r="BA38" s="17"/>
      <c r="BB38" s="1"/>
      <c r="BC38" s="17"/>
      <c r="BD38" s="1"/>
      <c r="BE38" s="17"/>
      <c r="BF38" s="1"/>
      <c r="BG38" s="17"/>
      <c r="BH38" s="1"/>
      <c r="BI38" s="1"/>
      <c r="BJ38" s="1"/>
      <c r="BK38" s="17">
        <f t="shared" si="17"/>
        <v>0</v>
      </c>
      <c r="BL38" s="65"/>
    </row>
    <row r="39" spans="1:64" ht="12" customHeight="1" hidden="1">
      <c r="A39" s="63" t="s">
        <v>259</v>
      </c>
      <c r="B39" s="63"/>
      <c r="C39" s="17">
        <f t="shared" si="9"/>
        <v>0</v>
      </c>
      <c r="D39" s="17"/>
      <c r="E39" s="17">
        <v>0</v>
      </c>
      <c r="F39" s="17"/>
      <c r="G39" s="17">
        <v>0</v>
      </c>
      <c r="H39" s="17"/>
      <c r="I39" s="17">
        <f t="shared" si="10"/>
        <v>0</v>
      </c>
      <c r="J39" s="17"/>
      <c r="K39" s="17">
        <f t="shared" si="11"/>
        <v>0</v>
      </c>
      <c r="L39" s="17"/>
      <c r="M39" s="17">
        <v>0</v>
      </c>
      <c r="N39" s="17"/>
      <c r="O39" s="17">
        <v>0</v>
      </c>
      <c r="P39" s="17"/>
      <c r="Q39" s="17">
        <v>0</v>
      </c>
      <c r="R39" s="17"/>
      <c r="S39" s="17">
        <v>0</v>
      </c>
      <c r="T39" s="17"/>
      <c r="U39" s="17">
        <f t="shared" si="12"/>
        <v>0</v>
      </c>
      <c r="V39" s="17"/>
      <c r="W39" s="17">
        <f t="shared" si="13"/>
        <v>0</v>
      </c>
      <c r="X39" s="17"/>
      <c r="Y39" s="68" t="s">
        <v>37</v>
      </c>
      <c r="Z39" s="17"/>
      <c r="AA39" s="17">
        <v>0</v>
      </c>
      <c r="AB39" s="1"/>
      <c r="AC39" s="17">
        <v>0</v>
      </c>
      <c r="AD39" s="1"/>
      <c r="AE39" s="17">
        <v>0</v>
      </c>
      <c r="AF39" s="1"/>
      <c r="AG39" s="17">
        <f t="shared" si="14"/>
        <v>0</v>
      </c>
      <c r="AH39" s="21"/>
      <c r="AI39" s="17">
        <v>0</v>
      </c>
      <c r="AJ39" s="21"/>
      <c r="AK39" s="17">
        <v>0</v>
      </c>
      <c r="AL39" s="1"/>
      <c r="AM39" s="17">
        <v>0</v>
      </c>
      <c r="AN39" s="1"/>
      <c r="AO39" s="17">
        <v>0</v>
      </c>
      <c r="AP39" s="1"/>
      <c r="AQ39" s="17">
        <f t="shared" si="15"/>
        <v>0</v>
      </c>
      <c r="AR39" s="21"/>
      <c r="AS39" s="1">
        <v>0</v>
      </c>
      <c r="AT39" s="1"/>
      <c r="AU39" s="1">
        <v>0</v>
      </c>
      <c r="AV39" s="1"/>
      <c r="AW39" s="17">
        <f t="shared" si="16"/>
        <v>0</v>
      </c>
      <c r="AX39" s="17"/>
      <c r="AY39" s="68" t="s">
        <v>37</v>
      </c>
      <c r="AZ39" s="17"/>
      <c r="BA39" s="17">
        <v>0</v>
      </c>
      <c r="BB39" s="1"/>
      <c r="BC39" s="17">
        <v>0</v>
      </c>
      <c r="BD39" s="1"/>
      <c r="BE39" s="17">
        <v>0</v>
      </c>
      <c r="BF39" s="1"/>
      <c r="BG39" s="17">
        <v>0</v>
      </c>
      <c r="BH39" s="1"/>
      <c r="BI39" s="1"/>
      <c r="BJ39" s="1"/>
      <c r="BK39" s="17">
        <f t="shared" si="17"/>
        <v>0</v>
      </c>
      <c r="BL39" s="65"/>
    </row>
    <row r="40" spans="1:64" ht="12" customHeight="1" hidden="1">
      <c r="A40" s="63" t="s">
        <v>38</v>
      </c>
      <c r="B40" s="63"/>
      <c r="C40" s="17">
        <f t="shared" si="9"/>
        <v>0</v>
      </c>
      <c r="D40" s="17"/>
      <c r="E40" s="17">
        <v>0</v>
      </c>
      <c r="F40" s="17"/>
      <c r="G40" s="17">
        <v>0</v>
      </c>
      <c r="H40" s="17"/>
      <c r="I40" s="17">
        <f t="shared" si="10"/>
        <v>0</v>
      </c>
      <c r="J40" s="17"/>
      <c r="K40" s="17">
        <f t="shared" si="11"/>
        <v>0</v>
      </c>
      <c r="L40" s="17"/>
      <c r="M40" s="17">
        <v>0</v>
      </c>
      <c r="N40" s="17"/>
      <c r="O40" s="17">
        <v>0</v>
      </c>
      <c r="P40" s="17"/>
      <c r="Q40" s="17">
        <v>0</v>
      </c>
      <c r="R40" s="17"/>
      <c r="S40" s="17">
        <v>0</v>
      </c>
      <c r="T40" s="17"/>
      <c r="U40" s="17">
        <f t="shared" si="12"/>
        <v>0</v>
      </c>
      <c r="V40" s="17"/>
      <c r="W40" s="17">
        <f t="shared" si="13"/>
        <v>0</v>
      </c>
      <c r="X40" s="17"/>
      <c r="Y40" s="68" t="s">
        <v>38</v>
      </c>
      <c r="Z40" s="17"/>
      <c r="AA40" s="17">
        <v>0</v>
      </c>
      <c r="AB40" s="1"/>
      <c r="AC40" s="17">
        <v>0</v>
      </c>
      <c r="AD40" s="1"/>
      <c r="AE40" s="17">
        <v>0</v>
      </c>
      <c r="AF40" s="1"/>
      <c r="AG40" s="17">
        <f t="shared" si="14"/>
        <v>0</v>
      </c>
      <c r="AH40" s="21"/>
      <c r="AI40" s="17">
        <v>0</v>
      </c>
      <c r="AJ40" s="21"/>
      <c r="AK40" s="17">
        <v>0</v>
      </c>
      <c r="AL40" s="1"/>
      <c r="AM40" s="17">
        <v>0</v>
      </c>
      <c r="AN40" s="1"/>
      <c r="AO40" s="17">
        <v>0</v>
      </c>
      <c r="AP40" s="1"/>
      <c r="AQ40" s="17">
        <f t="shared" si="15"/>
        <v>0</v>
      </c>
      <c r="AR40" s="21"/>
      <c r="AS40" s="1">
        <v>0</v>
      </c>
      <c r="AT40" s="1"/>
      <c r="AU40" s="1">
        <v>0</v>
      </c>
      <c r="AV40" s="1"/>
      <c r="AW40" s="17">
        <f t="shared" si="16"/>
        <v>0</v>
      </c>
      <c r="AX40" s="1"/>
      <c r="AY40" s="68" t="s">
        <v>38</v>
      </c>
      <c r="AZ40" s="1"/>
      <c r="BA40" s="17">
        <v>0</v>
      </c>
      <c r="BB40" s="1"/>
      <c r="BC40" s="17">
        <v>0</v>
      </c>
      <c r="BD40" s="1"/>
      <c r="BE40" s="17">
        <v>0</v>
      </c>
      <c r="BF40" s="1"/>
      <c r="BG40" s="17">
        <v>0</v>
      </c>
      <c r="BH40" s="1"/>
      <c r="BI40" s="1"/>
      <c r="BJ40" s="1"/>
      <c r="BK40" s="17">
        <f t="shared" si="17"/>
        <v>0</v>
      </c>
      <c r="BL40" s="65"/>
    </row>
    <row r="41" spans="1:64" ht="12" customHeight="1" hidden="1">
      <c r="A41" s="63" t="s">
        <v>168</v>
      </c>
      <c r="B41" s="63"/>
      <c r="C41" s="17">
        <f t="shared" si="9"/>
        <v>0</v>
      </c>
      <c r="D41" s="17"/>
      <c r="E41" s="17">
        <v>0</v>
      </c>
      <c r="F41" s="17"/>
      <c r="G41" s="17">
        <v>0</v>
      </c>
      <c r="H41" s="17"/>
      <c r="I41" s="17">
        <f t="shared" si="10"/>
        <v>0</v>
      </c>
      <c r="J41" s="17"/>
      <c r="K41" s="17">
        <f t="shared" si="11"/>
        <v>0</v>
      </c>
      <c r="L41" s="17"/>
      <c r="M41" s="17">
        <v>0</v>
      </c>
      <c r="N41" s="17"/>
      <c r="O41" s="17">
        <v>0</v>
      </c>
      <c r="P41" s="17"/>
      <c r="Q41" s="17">
        <v>0</v>
      </c>
      <c r="R41" s="17"/>
      <c r="S41" s="17">
        <v>0</v>
      </c>
      <c r="T41" s="17"/>
      <c r="U41" s="17">
        <f t="shared" si="12"/>
        <v>0</v>
      </c>
      <c r="V41" s="17"/>
      <c r="W41" s="17">
        <f t="shared" si="13"/>
        <v>0</v>
      </c>
      <c r="X41" s="17"/>
      <c r="Y41" s="68" t="s">
        <v>168</v>
      </c>
      <c r="Z41" s="17"/>
      <c r="AA41" s="17">
        <v>0</v>
      </c>
      <c r="AB41" s="1"/>
      <c r="AC41" s="17">
        <v>0</v>
      </c>
      <c r="AD41" s="1"/>
      <c r="AE41" s="17">
        <v>0</v>
      </c>
      <c r="AF41" s="1"/>
      <c r="AG41" s="17">
        <f t="shared" si="14"/>
        <v>0</v>
      </c>
      <c r="AH41" s="21"/>
      <c r="AI41" s="17">
        <v>0</v>
      </c>
      <c r="AJ41" s="21"/>
      <c r="AK41" s="17">
        <v>0</v>
      </c>
      <c r="AL41" s="1"/>
      <c r="AM41" s="17">
        <v>0</v>
      </c>
      <c r="AN41" s="1"/>
      <c r="AO41" s="17">
        <v>0</v>
      </c>
      <c r="AP41" s="1"/>
      <c r="AQ41" s="17">
        <f t="shared" si="15"/>
        <v>0</v>
      </c>
      <c r="AR41" s="21"/>
      <c r="AS41" s="1">
        <v>0</v>
      </c>
      <c r="AT41" s="1"/>
      <c r="AU41" s="1">
        <v>0</v>
      </c>
      <c r="AV41" s="1"/>
      <c r="AW41" s="17">
        <f t="shared" si="16"/>
        <v>0</v>
      </c>
      <c r="AX41" s="17"/>
      <c r="AY41" s="68" t="s">
        <v>168</v>
      </c>
      <c r="AZ41" s="17"/>
      <c r="BA41" s="17">
        <v>0</v>
      </c>
      <c r="BB41" s="1"/>
      <c r="BC41" s="17">
        <v>0</v>
      </c>
      <c r="BD41" s="1"/>
      <c r="BE41" s="17">
        <v>0</v>
      </c>
      <c r="BF41" s="1"/>
      <c r="BG41" s="17">
        <v>0</v>
      </c>
      <c r="BH41" s="1"/>
      <c r="BI41" s="1"/>
      <c r="BJ41" s="1"/>
      <c r="BK41" s="17">
        <f t="shared" si="17"/>
        <v>0</v>
      </c>
      <c r="BL41" s="65"/>
    </row>
    <row r="42" spans="1:64" ht="12" customHeight="1" hidden="1">
      <c r="A42" s="63" t="s">
        <v>39</v>
      </c>
      <c r="B42" s="63"/>
      <c r="C42" s="17">
        <f t="shared" si="9"/>
        <v>0</v>
      </c>
      <c r="D42" s="17"/>
      <c r="E42" s="17">
        <v>0</v>
      </c>
      <c r="F42" s="17"/>
      <c r="G42" s="17">
        <v>0</v>
      </c>
      <c r="H42" s="17"/>
      <c r="I42" s="17">
        <f t="shared" si="10"/>
        <v>0</v>
      </c>
      <c r="J42" s="17"/>
      <c r="K42" s="17">
        <f t="shared" si="11"/>
        <v>0</v>
      </c>
      <c r="L42" s="17"/>
      <c r="M42" s="17">
        <v>0</v>
      </c>
      <c r="N42" s="17"/>
      <c r="O42" s="17">
        <v>0</v>
      </c>
      <c r="P42" s="17"/>
      <c r="Q42" s="17">
        <v>0</v>
      </c>
      <c r="R42" s="17"/>
      <c r="S42" s="17">
        <v>0</v>
      </c>
      <c r="T42" s="17"/>
      <c r="U42" s="17">
        <f t="shared" si="12"/>
        <v>0</v>
      </c>
      <c r="V42" s="17"/>
      <c r="W42" s="17">
        <f t="shared" si="13"/>
        <v>0</v>
      </c>
      <c r="X42" s="17"/>
      <c r="Y42" s="68" t="s">
        <v>39</v>
      </c>
      <c r="Z42" s="17"/>
      <c r="AA42" s="17">
        <v>0</v>
      </c>
      <c r="AB42" s="1"/>
      <c r="AC42" s="17">
        <v>0</v>
      </c>
      <c r="AD42" s="1"/>
      <c r="AE42" s="17">
        <v>0</v>
      </c>
      <c r="AF42" s="1"/>
      <c r="AG42" s="17">
        <f t="shared" si="14"/>
        <v>0</v>
      </c>
      <c r="AH42" s="21"/>
      <c r="AI42" s="17">
        <v>0</v>
      </c>
      <c r="AJ42" s="21"/>
      <c r="AK42" s="17">
        <v>0</v>
      </c>
      <c r="AL42" s="1"/>
      <c r="AM42" s="17">
        <v>0</v>
      </c>
      <c r="AN42" s="1"/>
      <c r="AO42" s="17">
        <v>0</v>
      </c>
      <c r="AP42" s="1"/>
      <c r="AQ42" s="17">
        <f t="shared" si="15"/>
        <v>0</v>
      </c>
      <c r="AR42" s="21"/>
      <c r="AS42" s="1">
        <v>0</v>
      </c>
      <c r="AT42" s="1"/>
      <c r="AU42" s="1">
        <v>0</v>
      </c>
      <c r="AV42" s="1"/>
      <c r="AW42" s="17">
        <f t="shared" si="16"/>
        <v>0</v>
      </c>
      <c r="AX42" s="1"/>
      <c r="AY42" s="68" t="s">
        <v>39</v>
      </c>
      <c r="AZ42" s="1"/>
      <c r="BA42" s="17">
        <v>0</v>
      </c>
      <c r="BB42" s="1"/>
      <c r="BC42" s="17">
        <v>0</v>
      </c>
      <c r="BD42" s="1"/>
      <c r="BE42" s="17">
        <v>0</v>
      </c>
      <c r="BF42" s="1"/>
      <c r="BG42" s="17">
        <v>0</v>
      </c>
      <c r="BH42" s="1"/>
      <c r="BI42" s="1"/>
      <c r="BJ42" s="1"/>
      <c r="BK42" s="17">
        <f t="shared" si="17"/>
        <v>0</v>
      </c>
      <c r="BL42" s="65"/>
    </row>
    <row r="43" spans="1:64" ht="12" customHeight="1" hidden="1">
      <c r="A43" s="63" t="s">
        <v>40</v>
      </c>
      <c r="B43" s="63"/>
      <c r="C43" s="17">
        <f t="shared" si="9"/>
        <v>0</v>
      </c>
      <c r="D43" s="17"/>
      <c r="E43" s="17">
        <v>0</v>
      </c>
      <c r="F43" s="17"/>
      <c r="G43" s="17">
        <v>0</v>
      </c>
      <c r="H43" s="17"/>
      <c r="I43" s="17">
        <f t="shared" si="10"/>
        <v>0</v>
      </c>
      <c r="J43" s="17"/>
      <c r="K43" s="17">
        <f t="shared" si="11"/>
        <v>0</v>
      </c>
      <c r="L43" s="17"/>
      <c r="M43" s="17">
        <v>0</v>
      </c>
      <c r="N43" s="17"/>
      <c r="O43" s="17">
        <v>0</v>
      </c>
      <c r="P43" s="17"/>
      <c r="Q43" s="17">
        <v>0</v>
      </c>
      <c r="R43" s="17"/>
      <c r="S43" s="17">
        <v>0</v>
      </c>
      <c r="T43" s="17"/>
      <c r="U43" s="17">
        <f t="shared" si="12"/>
        <v>0</v>
      </c>
      <c r="V43" s="17"/>
      <c r="W43" s="17">
        <f t="shared" si="13"/>
        <v>0</v>
      </c>
      <c r="X43" s="17"/>
      <c r="Y43" s="68" t="s">
        <v>40</v>
      </c>
      <c r="Z43" s="17"/>
      <c r="AA43" s="17">
        <v>0</v>
      </c>
      <c r="AB43" s="1"/>
      <c r="AC43" s="17">
        <v>0</v>
      </c>
      <c r="AD43" s="1"/>
      <c r="AE43" s="17">
        <v>0</v>
      </c>
      <c r="AF43" s="1"/>
      <c r="AG43" s="17">
        <f t="shared" si="14"/>
        <v>0</v>
      </c>
      <c r="AH43" s="21"/>
      <c r="AI43" s="17">
        <v>0</v>
      </c>
      <c r="AJ43" s="21"/>
      <c r="AK43" s="17">
        <v>0</v>
      </c>
      <c r="AL43" s="1"/>
      <c r="AM43" s="17">
        <v>0</v>
      </c>
      <c r="AN43" s="1"/>
      <c r="AO43" s="17">
        <v>0</v>
      </c>
      <c r="AP43" s="1"/>
      <c r="AQ43" s="17">
        <f t="shared" si="15"/>
        <v>0</v>
      </c>
      <c r="AR43" s="21"/>
      <c r="AS43" s="1">
        <v>0</v>
      </c>
      <c r="AT43" s="1"/>
      <c r="AU43" s="1">
        <v>0</v>
      </c>
      <c r="AV43" s="1"/>
      <c r="AW43" s="17">
        <f t="shared" si="16"/>
        <v>0</v>
      </c>
      <c r="AX43" s="17"/>
      <c r="AY43" s="68" t="s">
        <v>40</v>
      </c>
      <c r="AZ43" s="17"/>
      <c r="BA43" s="17">
        <v>0</v>
      </c>
      <c r="BB43" s="1"/>
      <c r="BC43" s="17">
        <v>0</v>
      </c>
      <c r="BD43" s="1"/>
      <c r="BE43" s="17">
        <v>0</v>
      </c>
      <c r="BF43" s="1"/>
      <c r="BG43" s="17">
        <v>0</v>
      </c>
      <c r="BH43" s="1"/>
      <c r="BI43" s="1"/>
      <c r="BJ43" s="1"/>
      <c r="BK43" s="17">
        <f t="shared" si="17"/>
        <v>0</v>
      </c>
      <c r="BL43" s="65"/>
    </row>
    <row r="44" spans="1:64" ht="12" customHeight="1" hidden="1">
      <c r="A44" s="63" t="s">
        <v>41</v>
      </c>
      <c r="B44" s="63"/>
      <c r="C44" s="17">
        <f t="shared" si="9"/>
        <v>0</v>
      </c>
      <c r="D44" s="17"/>
      <c r="E44" s="17">
        <v>0</v>
      </c>
      <c r="F44" s="17"/>
      <c r="G44" s="17">
        <v>0</v>
      </c>
      <c r="H44" s="17"/>
      <c r="I44" s="17">
        <f t="shared" si="10"/>
        <v>0</v>
      </c>
      <c r="J44" s="17"/>
      <c r="K44" s="17">
        <f t="shared" si="11"/>
        <v>0</v>
      </c>
      <c r="L44" s="17"/>
      <c r="M44" s="17">
        <v>0</v>
      </c>
      <c r="N44" s="17"/>
      <c r="O44" s="17">
        <v>0</v>
      </c>
      <c r="P44" s="17"/>
      <c r="Q44" s="17">
        <v>0</v>
      </c>
      <c r="R44" s="17"/>
      <c r="S44" s="17">
        <v>0</v>
      </c>
      <c r="T44" s="17"/>
      <c r="U44" s="17">
        <f t="shared" si="12"/>
        <v>0</v>
      </c>
      <c r="V44" s="17"/>
      <c r="W44" s="17">
        <f t="shared" si="13"/>
        <v>0</v>
      </c>
      <c r="X44" s="17"/>
      <c r="Y44" s="68" t="s">
        <v>41</v>
      </c>
      <c r="Z44" s="17"/>
      <c r="AA44" s="17">
        <v>0</v>
      </c>
      <c r="AB44" s="1"/>
      <c r="AC44" s="17">
        <v>0</v>
      </c>
      <c r="AD44" s="1"/>
      <c r="AE44" s="17">
        <v>0</v>
      </c>
      <c r="AF44" s="1"/>
      <c r="AG44" s="17">
        <f t="shared" si="14"/>
        <v>0</v>
      </c>
      <c r="AH44" s="21"/>
      <c r="AI44" s="17">
        <v>0</v>
      </c>
      <c r="AJ44" s="21"/>
      <c r="AK44" s="17">
        <v>0</v>
      </c>
      <c r="AL44" s="1"/>
      <c r="AM44" s="17">
        <v>0</v>
      </c>
      <c r="AN44" s="1"/>
      <c r="AO44" s="17">
        <v>0</v>
      </c>
      <c r="AP44" s="1"/>
      <c r="AQ44" s="17">
        <f t="shared" si="15"/>
        <v>0</v>
      </c>
      <c r="AR44" s="21"/>
      <c r="AS44" s="1">
        <v>0</v>
      </c>
      <c r="AT44" s="1"/>
      <c r="AU44" s="1">
        <v>0</v>
      </c>
      <c r="AV44" s="1"/>
      <c r="AW44" s="17">
        <f t="shared" si="16"/>
        <v>0</v>
      </c>
      <c r="AX44" s="17"/>
      <c r="AY44" s="68" t="s">
        <v>41</v>
      </c>
      <c r="AZ44" s="17"/>
      <c r="BA44" s="17">
        <v>0</v>
      </c>
      <c r="BB44" s="1"/>
      <c r="BC44" s="17">
        <v>0</v>
      </c>
      <c r="BD44" s="1"/>
      <c r="BE44" s="17">
        <v>0</v>
      </c>
      <c r="BF44" s="1"/>
      <c r="BG44" s="17">
        <v>0</v>
      </c>
      <c r="BH44" s="1"/>
      <c r="BI44" s="1"/>
      <c r="BJ44" s="1"/>
      <c r="BK44" s="17">
        <f t="shared" si="17"/>
        <v>0</v>
      </c>
      <c r="BL44" s="65"/>
    </row>
    <row r="45" spans="1:64" ht="12" customHeight="1">
      <c r="A45" s="63" t="s">
        <v>42</v>
      </c>
      <c r="B45" s="63"/>
      <c r="C45" s="17">
        <f t="shared" si="9"/>
        <v>29498</v>
      </c>
      <c r="D45" s="17"/>
      <c r="E45" s="17">
        <v>1597987</v>
      </c>
      <c r="F45" s="17"/>
      <c r="G45" s="17">
        <v>1627485</v>
      </c>
      <c r="H45" s="17"/>
      <c r="I45" s="17">
        <f t="shared" si="10"/>
        <v>1796</v>
      </c>
      <c r="J45" s="17"/>
      <c r="K45" s="17">
        <f t="shared" si="11"/>
        <v>501192</v>
      </c>
      <c r="L45" s="17"/>
      <c r="M45" s="17">
        <v>502988</v>
      </c>
      <c r="N45" s="17"/>
      <c r="O45" s="17">
        <v>1097987</v>
      </c>
      <c r="P45" s="17"/>
      <c r="Q45" s="17">
        <v>0</v>
      </c>
      <c r="R45" s="17"/>
      <c r="S45" s="17">
        <v>26510</v>
      </c>
      <c r="T45" s="17"/>
      <c r="U45" s="17">
        <f t="shared" si="12"/>
        <v>1124497</v>
      </c>
      <c r="V45" s="17"/>
      <c r="W45" s="17">
        <f t="shared" si="13"/>
        <v>0</v>
      </c>
      <c r="X45" s="17"/>
      <c r="Y45" s="68" t="s">
        <v>42</v>
      </c>
      <c r="Z45" s="17"/>
      <c r="AA45" s="17">
        <v>148880</v>
      </c>
      <c r="AB45" s="1"/>
      <c r="AC45" s="17">
        <f>122940</f>
        <v>122940</v>
      </c>
      <c r="AD45" s="1"/>
      <c r="AE45" s="17">
        <v>0</v>
      </c>
      <c r="AF45" s="1"/>
      <c r="AG45" s="17">
        <f t="shared" si="14"/>
        <v>25940</v>
      </c>
      <c r="AH45" s="21"/>
      <c r="AI45" s="17">
        <v>-19557</v>
      </c>
      <c r="AJ45" s="21"/>
      <c r="AK45" s="17">
        <v>0</v>
      </c>
      <c r="AL45" s="1"/>
      <c r="AM45" s="17">
        <v>0</v>
      </c>
      <c r="AN45" s="1"/>
      <c r="AO45" s="17">
        <v>0</v>
      </c>
      <c r="AP45" s="1"/>
      <c r="AQ45" s="17">
        <f t="shared" si="15"/>
        <v>6383</v>
      </c>
      <c r="AR45" s="21"/>
      <c r="AS45" s="1">
        <v>0</v>
      </c>
      <c r="AT45" s="1"/>
      <c r="AU45" s="1">
        <v>0</v>
      </c>
      <c r="AV45" s="1"/>
      <c r="AW45" s="17">
        <f t="shared" si="16"/>
        <v>27702</v>
      </c>
      <c r="AX45" s="1"/>
      <c r="AY45" s="68" t="s">
        <v>42</v>
      </c>
      <c r="AZ45" s="1"/>
      <c r="BA45" s="17">
        <v>0</v>
      </c>
      <c r="BB45" s="1"/>
      <c r="BC45" s="17">
        <v>500000</v>
      </c>
      <c r="BD45" s="1"/>
      <c r="BE45" s="17">
        <v>0</v>
      </c>
      <c r="BF45" s="1"/>
      <c r="BG45" s="17">
        <v>1192</v>
      </c>
      <c r="BH45" s="1"/>
      <c r="BI45" s="1"/>
      <c r="BJ45" s="1"/>
      <c r="BK45" s="17">
        <f t="shared" si="17"/>
        <v>501192</v>
      </c>
      <c r="BL45" s="65"/>
    </row>
    <row r="46" spans="1:64" ht="12" customHeight="1" hidden="1">
      <c r="A46" s="63" t="s">
        <v>42</v>
      </c>
      <c r="B46" s="63"/>
      <c r="C46" s="17">
        <f t="shared" si="9"/>
        <v>0</v>
      </c>
      <c r="D46" s="17"/>
      <c r="E46" s="17">
        <v>0</v>
      </c>
      <c r="F46" s="17"/>
      <c r="G46" s="17">
        <v>0</v>
      </c>
      <c r="H46" s="17"/>
      <c r="I46" s="17">
        <f t="shared" si="10"/>
        <v>0</v>
      </c>
      <c r="J46" s="17"/>
      <c r="K46" s="17">
        <f t="shared" si="11"/>
        <v>0</v>
      </c>
      <c r="L46" s="17"/>
      <c r="M46" s="17">
        <v>0</v>
      </c>
      <c r="N46" s="17"/>
      <c r="O46" s="17">
        <v>0</v>
      </c>
      <c r="P46" s="17"/>
      <c r="Q46" s="17">
        <v>0</v>
      </c>
      <c r="R46" s="17"/>
      <c r="S46" s="17">
        <v>0</v>
      </c>
      <c r="T46" s="17"/>
      <c r="U46" s="17">
        <f t="shared" si="12"/>
        <v>0</v>
      </c>
      <c r="V46" s="17"/>
      <c r="W46" s="17">
        <f t="shared" si="13"/>
        <v>0</v>
      </c>
      <c r="X46" s="17"/>
      <c r="Y46" s="68" t="s">
        <v>42</v>
      </c>
      <c r="Z46" s="17"/>
      <c r="AA46" s="17">
        <v>0</v>
      </c>
      <c r="AB46" s="1"/>
      <c r="AC46" s="17">
        <v>0</v>
      </c>
      <c r="AD46" s="1"/>
      <c r="AE46" s="17">
        <v>0</v>
      </c>
      <c r="AF46" s="1"/>
      <c r="AG46" s="17">
        <f t="shared" si="14"/>
        <v>0</v>
      </c>
      <c r="AH46" s="21"/>
      <c r="AI46" s="17">
        <v>0</v>
      </c>
      <c r="AJ46" s="21"/>
      <c r="AK46" s="17">
        <v>0</v>
      </c>
      <c r="AL46" s="1"/>
      <c r="AM46" s="17">
        <v>0</v>
      </c>
      <c r="AN46" s="1"/>
      <c r="AO46" s="17">
        <v>0</v>
      </c>
      <c r="AP46" s="1"/>
      <c r="AQ46" s="17">
        <f t="shared" si="15"/>
        <v>0</v>
      </c>
      <c r="AR46" s="21"/>
      <c r="AS46" s="1">
        <v>0</v>
      </c>
      <c r="AT46" s="1"/>
      <c r="AU46" s="1">
        <v>0</v>
      </c>
      <c r="AV46" s="1"/>
      <c r="AW46" s="17">
        <f t="shared" si="16"/>
        <v>0</v>
      </c>
      <c r="AX46" s="1"/>
      <c r="AY46" s="68" t="s">
        <v>42</v>
      </c>
      <c r="AZ46" s="1"/>
      <c r="BA46" s="17">
        <v>0</v>
      </c>
      <c r="BB46" s="1"/>
      <c r="BC46" s="17">
        <v>0</v>
      </c>
      <c r="BD46" s="1"/>
      <c r="BE46" s="17">
        <v>0</v>
      </c>
      <c r="BF46" s="1"/>
      <c r="BG46" s="17">
        <v>0</v>
      </c>
      <c r="BH46" s="1"/>
      <c r="BI46" s="1"/>
      <c r="BJ46" s="1"/>
      <c r="BK46" s="17">
        <f t="shared" si="17"/>
        <v>0</v>
      </c>
      <c r="BL46" s="65"/>
    </row>
    <row r="47" spans="1:64" ht="12" customHeight="1">
      <c r="A47" s="63" t="s">
        <v>43</v>
      </c>
      <c r="B47" s="63"/>
      <c r="C47" s="17">
        <f t="shared" si="9"/>
        <v>1097206</v>
      </c>
      <c r="D47" s="17"/>
      <c r="E47" s="17">
        <v>4987364</v>
      </c>
      <c r="F47" s="17"/>
      <c r="G47" s="17">
        <v>6084570</v>
      </c>
      <c r="H47" s="17"/>
      <c r="I47" s="17">
        <f t="shared" si="10"/>
        <v>199104</v>
      </c>
      <c r="J47" s="17"/>
      <c r="K47" s="17">
        <f t="shared" si="11"/>
        <v>2586427</v>
      </c>
      <c r="L47" s="17"/>
      <c r="M47" s="17">
        <v>2785531</v>
      </c>
      <c r="N47" s="17"/>
      <c r="O47" s="17">
        <v>2341329</v>
      </c>
      <c r="P47" s="17"/>
      <c r="Q47" s="17">
        <v>0</v>
      </c>
      <c r="R47" s="17"/>
      <c r="S47" s="17">
        <v>957710</v>
      </c>
      <c r="T47" s="17"/>
      <c r="U47" s="17">
        <f t="shared" si="12"/>
        <v>3299039</v>
      </c>
      <c r="V47" s="17"/>
      <c r="W47" s="17">
        <f t="shared" si="13"/>
        <v>0</v>
      </c>
      <c r="X47" s="17"/>
      <c r="Y47" s="68" t="s">
        <v>43</v>
      </c>
      <c r="Z47" s="17"/>
      <c r="AA47" s="17">
        <v>701437</v>
      </c>
      <c r="AB47" s="1"/>
      <c r="AC47" s="17">
        <f>735324-214379</f>
        <v>520945</v>
      </c>
      <c r="AD47" s="1"/>
      <c r="AE47" s="17">
        <v>214379</v>
      </c>
      <c r="AF47" s="1"/>
      <c r="AG47" s="17">
        <f t="shared" si="14"/>
        <v>-33887</v>
      </c>
      <c r="AH47" s="21"/>
      <c r="AI47" s="17">
        <v>-182582</v>
      </c>
      <c r="AJ47" s="21"/>
      <c r="AK47" s="17">
        <v>0</v>
      </c>
      <c r="AL47" s="1"/>
      <c r="AM47" s="17">
        <v>0</v>
      </c>
      <c r="AN47" s="1"/>
      <c r="AO47" s="17">
        <v>0</v>
      </c>
      <c r="AP47" s="1"/>
      <c r="AQ47" s="17">
        <f t="shared" si="15"/>
        <v>-216469</v>
      </c>
      <c r="AR47" s="21"/>
      <c r="AS47" s="1">
        <v>0</v>
      </c>
      <c r="AT47" s="1"/>
      <c r="AU47" s="1">
        <v>0</v>
      </c>
      <c r="AV47" s="1"/>
      <c r="AW47" s="17">
        <f t="shared" si="16"/>
        <v>898102</v>
      </c>
      <c r="AX47" s="1"/>
      <c r="AY47" s="68" t="s">
        <v>43</v>
      </c>
      <c r="AZ47" s="1"/>
      <c r="BA47" s="17">
        <v>0</v>
      </c>
      <c r="BB47" s="1"/>
      <c r="BC47" s="17">
        <v>2493500</v>
      </c>
      <c r="BD47" s="1"/>
      <c r="BE47" s="17">
        <v>92927</v>
      </c>
      <c r="BF47" s="1"/>
      <c r="BG47" s="17"/>
      <c r="BH47" s="1"/>
      <c r="BI47" s="1"/>
      <c r="BJ47" s="1"/>
      <c r="BK47" s="17">
        <f t="shared" si="17"/>
        <v>2586427</v>
      </c>
      <c r="BL47" s="65"/>
    </row>
    <row r="48" spans="1:65" ht="12" customHeight="1" hidden="1">
      <c r="A48" s="63" t="s">
        <v>44</v>
      </c>
      <c r="B48" s="63"/>
      <c r="C48" s="17">
        <f t="shared" si="9"/>
        <v>0</v>
      </c>
      <c r="D48" s="17"/>
      <c r="E48" s="17"/>
      <c r="F48" s="17"/>
      <c r="G48" s="17"/>
      <c r="H48" s="17"/>
      <c r="I48" s="17">
        <f t="shared" si="10"/>
        <v>0</v>
      </c>
      <c r="J48" s="17"/>
      <c r="K48" s="17">
        <f t="shared" si="11"/>
        <v>0</v>
      </c>
      <c r="L48" s="17"/>
      <c r="M48" s="17"/>
      <c r="N48" s="17"/>
      <c r="O48" s="17"/>
      <c r="P48" s="17"/>
      <c r="Q48" s="17"/>
      <c r="R48" s="17"/>
      <c r="S48" s="17"/>
      <c r="T48" s="17"/>
      <c r="U48" s="17">
        <f t="shared" si="12"/>
        <v>0</v>
      </c>
      <c r="V48" s="17"/>
      <c r="W48" s="17">
        <f t="shared" si="13"/>
        <v>0</v>
      </c>
      <c r="X48" s="17"/>
      <c r="Y48" s="68" t="s">
        <v>44</v>
      </c>
      <c r="Z48" s="17"/>
      <c r="AA48" s="17"/>
      <c r="AB48" s="1"/>
      <c r="AC48" s="17"/>
      <c r="AD48" s="1"/>
      <c r="AE48" s="17"/>
      <c r="AF48" s="1"/>
      <c r="AG48" s="17">
        <f t="shared" si="14"/>
        <v>0</v>
      </c>
      <c r="AH48" s="21"/>
      <c r="AI48" s="17"/>
      <c r="AJ48" s="21"/>
      <c r="AK48" s="17"/>
      <c r="AL48" s="1"/>
      <c r="AM48" s="17"/>
      <c r="AN48" s="1"/>
      <c r="AO48" s="17"/>
      <c r="AP48" s="1"/>
      <c r="AQ48" s="17">
        <f t="shared" si="15"/>
        <v>0</v>
      </c>
      <c r="AR48" s="21"/>
      <c r="AS48" s="1">
        <v>0</v>
      </c>
      <c r="AT48" s="1"/>
      <c r="AU48" s="1">
        <v>0</v>
      </c>
      <c r="AV48" s="1"/>
      <c r="AW48" s="17">
        <f t="shared" si="16"/>
        <v>0</v>
      </c>
      <c r="AX48" s="17"/>
      <c r="AY48" s="68" t="s">
        <v>44</v>
      </c>
      <c r="AZ48" s="17"/>
      <c r="BA48" s="17"/>
      <c r="BB48" s="1"/>
      <c r="BC48" s="17"/>
      <c r="BD48" s="1"/>
      <c r="BE48" s="17"/>
      <c r="BF48" s="1"/>
      <c r="BG48" s="17"/>
      <c r="BH48" s="1"/>
      <c r="BI48" s="1"/>
      <c r="BJ48" s="1"/>
      <c r="BK48" s="17">
        <f t="shared" si="17"/>
        <v>0</v>
      </c>
      <c r="BL48" s="65"/>
      <c r="BM48" s="65"/>
    </row>
    <row r="49" spans="1:64" ht="12" customHeight="1" hidden="1">
      <c r="A49" s="63" t="s">
        <v>255</v>
      </c>
      <c r="B49" s="63"/>
      <c r="C49" s="17">
        <f t="shared" si="9"/>
        <v>0</v>
      </c>
      <c r="D49" s="17"/>
      <c r="E49" s="17"/>
      <c r="F49" s="17"/>
      <c r="G49" s="17"/>
      <c r="H49" s="17"/>
      <c r="I49" s="17">
        <f t="shared" si="10"/>
        <v>0</v>
      </c>
      <c r="J49" s="17"/>
      <c r="K49" s="17">
        <f t="shared" si="11"/>
        <v>0</v>
      </c>
      <c r="L49" s="17"/>
      <c r="M49" s="17"/>
      <c r="N49" s="17"/>
      <c r="O49" s="17"/>
      <c r="P49" s="17"/>
      <c r="Q49" s="17"/>
      <c r="R49" s="17"/>
      <c r="S49" s="17"/>
      <c r="T49" s="17"/>
      <c r="U49" s="17">
        <f t="shared" si="12"/>
        <v>0</v>
      </c>
      <c r="V49" s="17"/>
      <c r="W49" s="17">
        <f t="shared" si="13"/>
        <v>0</v>
      </c>
      <c r="X49" s="17"/>
      <c r="Y49" s="68" t="s">
        <v>45</v>
      </c>
      <c r="Z49" s="17"/>
      <c r="AA49" s="17"/>
      <c r="AB49" s="1"/>
      <c r="AC49" s="17"/>
      <c r="AD49" s="1"/>
      <c r="AE49" s="17"/>
      <c r="AF49" s="1"/>
      <c r="AG49" s="17">
        <f t="shared" si="14"/>
        <v>0</v>
      </c>
      <c r="AH49" s="21"/>
      <c r="AI49" s="17"/>
      <c r="AJ49" s="21"/>
      <c r="AK49" s="17"/>
      <c r="AL49" s="1"/>
      <c r="AM49" s="17"/>
      <c r="AN49" s="1"/>
      <c r="AO49" s="17"/>
      <c r="AP49" s="1"/>
      <c r="AQ49" s="17">
        <f t="shared" si="15"/>
        <v>0</v>
      </c>
      <c r="AR49" s="21"/>
      <c r="AS49" s="1">
        <v>0</v>
      </c>
      <c r="AT49" s="1"/>
      <c r="AU49" s="1">
        <v>0</v>
      </c>
      <c r="AV49" s="1"/>
      <c r="AW49" s="17">
        <f t="shared" si="16"/>
        <v>0</v>
      </c>
      <c r="AX49" s="1"/>
      <c r="AY49" s="68" t="s">
        <v>45</v>
      </c>
      <c r="AZ49" s="1"/>
      <c r="BA49" s="17"/>
      <c r="BB49" s="1"/>
      <c r="BC49" s="17"/>
      <c r="BD49" s="1"/>
      <c r="BE49" s="17"/>
      <c r="BF49" s="1"/>
      <c r="BG49" s="17"/>
      <c r="BH49" s="1"/>
      <c r="BI49" s="1"/>
      <c r="BJ49" s="1"/>
      <c r="BK49" s="17">
        <f t="shared" si="17"/>
        <v>0</v>
      </c>
      <c r="BL49" s="65"/>
    </row>
    <row r="50" spans="1:64" ht="12" customHeight="1">
      <c r="A50" s="63" t="s">
        <v>46</v>
      </c>
      <c r="B50" s="63"/>
      <c r="C50" s="17">
        <f t="shared" si="9"/>
        <v>692886</v>
      </c>
      <c r="D50" s="17"/>
      <c r="E50" s="17">
        <v>15079398</v>
      </c>
      <c r="F50" s="17"/>
      <c r="G50" s="17">
        <v>15772284</v>
      </c>
      <c r="H50" s="17"/>
      <c r="I50" s="17">
        <f t="shared" si="10"/>
        <v>1193506</v>
      </c>
      <c r="J50" s="17"/>
      <c r="K50" s="17">
        <f t="shared" si="11"/>
        <v>3222388</v>
      </c>
      <c r="L50" s="17"/>
      <c r="M50" s="17">
        <v>4415894</v>
      </c>
      <c r="N50" s="17"/>
      <c r="O50" s="17">
        <v>10382055</v>
      </c>
      <c r="P50" s="17"/>
      <c r="Q50" s="17">
        <v>346811</v>
      </c>
      <c r="R50" s="17"/>
      <c r="S50" s="17">
        <v>627524</v>
      </c>
      <c r="T50" s="17"/>
      <c r="U50" s="17">
        <f t="shared" si="12"/>
        <v>11356390</v>
      </c>
      <c r="V50" s="17"/>
      <c r="W50" s="17">
        <f t="shared" si="13"/>
        <v>0</v>
      </c>
      <c r="X50" s="17"/>
      <c r="Y50" s="68" t="s">
        <v>46</v>
      </c>
      <c r="Z50" s="17"/>
      <c r="AA50" s="17">
        <v>1072189</v>
      </c>
      <c r="AB50" s="1"/>
      <c r="AC50" s="17">
        <f>1549042-625155</f>
        <v>923887</v>
      </c>
      <c r="AD50" s="1"/>
      <c r="AE50" s="17">
        <v>625155</v>
      </c>
      <c r="AF50" s="1"/>
      <c r="AG50" s="17">
        <f t="shared" si="14"/>
        <v>-476853</v>
      </c>
      <c r="AH50" s="21"/>
      <c r="AI50" s="17">
        <v>-132311</v>
      </c>
      <c r="AJ50" s="21"/>
      <c r="AK50" s="17">
        <v>0</v>
      </c>
      <c r="AL50" s="1"/>
      <c r="AM50" s="17">
        <v>0</v>
      </c>
      <c r="AN50" s="1"/>
      <c r="AO50" s="17">
        <v>0</v>
      </c>
      <c r="AP50" s="1"/>
      <c r="AQ50" s="17">
        <f t="shared" si="15"/>
        <v>-609164</v>
      </c>
      <c r="AR50" s="21"/>
      <c r="AS50" s="1">
        <v>0</v>
      </c>
      <c r="AT50" s="1"/>
      <c r="AU50" s="1">
        <v>0</v>
      </c>
      <c r="AV50" s="1"/>
      <c r="AW50" s="17">
        <f t="shared" si="16"/>
        <v>-500620</v>
      </c>
      <c r="AX50" s="1"/>
      <c r="AY50" s="68" t="s">
        <v>46</v>
      </c>
      <c r="AZ50" s="1"/>
      <c r="BA50" s="17">
        <v>1758233</v>
      </c>
      <c r="BB50" s="1"/>
      <c r="BC50" s="17">
        <v>0</v>
      </c>
      <c r="BD50" s="1"/>
      <c r="BE50" s="17">
        <f>227812+1222811</f>
        <v>1450623</v>
      </c>
      <c r="BF50" s="1"/>
      <c r="BG50" s="17">
        <v>13532</v>
      </c>
      <c r="BH50" s="1"/>
      <c r="BI50" s="1"/>
      <c r="BJ50" s="1"/>
      <c r="BK50" s="17">
        <f t="shared" si="17"/>
        <v>3222388</v>
      </c>
      <c r="BL50" s="65"/>
    </row>
    <row r="51" spans="1:64" ht="12" customHeight="1">
      <c r="A51" s="63" t="s">
        <v>47</v>
      </c>
      <c r="B51" s="63"/>
      <c r="C51" s="17">
        <f t="shared" si="9"/>
        <v>2359058</v>
      </c>
      <c r="D51" s="17"/>
      <c r="E51" s="17">
        <v>2725230</v>
      </c>
      <c r="F51" s="17"/>
      <c r="G51" s="17">
        <v>5084288</v>
      </c>
      <c r="H51" s="17"/>
      <c r="I51" s="17">
        <f t="shared" si="10"/>
        <v>67473</v>
      </c>
      <c r="J51" s="17"/>
      <c r="K51" s="17">
        <f t="shared" si="11"/>
        <v>79559</v>
      </c>
      <c r="L51" s="17"/>
      <c r="M51" s="17">
        <v>147032</v>
      </c>
      <c r="N51" s="17"/>
      <c r="O51" s="17">
        <v>2801699</v>
      </c>
      <c r="P51" s="17"/>
      <c r="Q51" s="17">
        <v>0</v>
      </c>
      <c r="R51" s="17"/>
      <c r="S51" s="17">
        <v>2135557</v>
      </c>
      <c r="T51" s="17"/>
      <c r="U51" s="17">
        <f t="shared" si="12"/>
        <v>4937256</v>
      </c>
      <c r="V51" s="17"/>
      <c r="W51" s="17">
        <f t="shared" si="13"/>
        <v>0</v>
      </c>
      <c r="X51" s="17"/>
      <c r="Y51" s="68" t="s">
        <v>47</v>
      </c>
      <c r="Z51" s="17"/>
      <c r="AA51" s="17">
        <v>1249747</v>
      </c>
      <c r="AB51" s="1"/>
      <c r="AC51" s="17">
        <f>1183769-111958</f>
        <v>1071811</v>
      </c>
      <c r="AD51" s="1"/>
      <c r="AE51" s="17">
        <v>111958</v>
      </c>
      <c r="AF51" s="1"/>
      <c r="AG51" s="17">
        <f t="shared" si="14"/>
        <v>65978</v>
      </c>
      <c r="AH51" s="21"/>
      <c r="AI51" s="17">
        <v>90008</v>
      </c>
      <c r="AJ51" s="21"/>
      <c r="AK51" s="17">
        <v>4396</v>
      </c>
      <c r="AL51" s="1"/>
      <c r="AM51" s="17">
        <v>93805</v>
      </c>
      <c r="AN51" s="1"/>
      <c r="AO51" s="17">
        <v>74693</v>
      </c>
      <c r="AP51" s="1"/>
      <c r="AQ51" s="17">
        <f t="shared" si="15"/>
        <v>141270</v>
      </c>
      <c r="AR51" s="21"/>
      <c r="AS51" s="1">
        <v>0</v>
      </c>
      <c r="AT51" s="1"/>
      <c r="AU51" s="1">
        <v>0</v>
      </c>
      <c r="AV51" s="1"/>
      <c r="AW51" s="17">
        <f t="shared" si="16"/>
        <v>2291585</v>
      </c>
      <c r="AX51" s="1"/>
      <c r="AY51" s="68" t="s">
        <v>47</v>
      </c>
      <c r="AZ51" s="1"/>
      <c r="BA51" s="17">
        <v>0</v>
      </c>
      <c r="BB51" s="1"/>
      <c r="BC51" s="17">
        <v>0</v>
      </c>
      <c r="BD51" s="1"/>
      <c r="BE51" s="17">
        <v>64462</v>
      </c>
      <c r="BF51" s="1"/>
      <c r="BG51" s="17">
        <v>15097</v>
      </c>
      <c r="BH51" s="1"/>
      <c r="BI51" s="1"/>
      <c r="BJ51" s="1"/>
      <c r="BK51" s="17">
        <f t="shared" si="17"/>
        <v>79559</v>
      </c>
      <c r="BL51" s="70"/>
    </row>
    <row r="52" spans="1:64" ht="12" customHeight="1">
      <c r="A52" s="63" t="s">
        <v>48</v>
      </c>
      <c r="B52" s="63"/>
      <c r="C52" s="17">
        <f t="shared" si="9"/>
        <v>14434070</v>
      </c>
      <c r="D52" s="17"/>
      <c r="E52" s="17">
        <v>124752533</v>
      </c>
      <c r="F52" s="17"/>
      <c r="G52" s="17">
        <v>139186603</v>
      </c>
      <c r="H52" s="17"/>
      <c r="I52" s="17">
        <f t="shared" si="10"/>
        <v>1636290</v>
      </c>
      <c r="J52" s="17"/>
      <c r="K52" s="17">
        <f t="shared" si="11"/>
        <v>37586534</v>
      </c>
      <c r="L52" s="17"/>
      <c r="M52" s="17">
        <v>39222824</v>
      </c>
      <c r="N52" s="17"/>
      <c r="O52" s="17">
        <v>88026231</v>
      </c>
      <c r="P52" s="17"/>
      <c r="Q52" s="17">
        <v>0</v>
      </c>
      <c r="R52" s="17"/>
      <c r="S52" s="17">
        <v>11937548</v>
      </c>
      <c r="T52" s="17"/>
      <c r="U52" s="17">
        <f t="shared" si="12"/>
        <v>99963779</v>
      </c>
      <c r="V52" s="17"/>
      <c r="W52" s="17">
        <f t="shared" si="13"/>
        <v>0</v>
      </c>
      <c r="X52" s="17"/>
      <c r="Y52" s="68" t="s">
        <v>48</v>
      </c>
      <c r="Z52" s="17"/>
      <c r="AA52" s="17">
        <v>15232891</v>
      </c>
      <c r="AB52" s="1"/>
      <c r="AC52" s="17">
        <f>15241955-4962382</f>
        <v>10279573</v>
      </c>
      <c r="AD52" s="1"/>
      <c r="AE52" s="17">
        <v>4962382</v>
      </c>
      <c r="AF52" s="1"/>
      <c r="AG52" s="17">
        <f t="shared" si="14"/>
        <v>-9064</v>
      </c>
      <c r="AH52" s="21"/>
      <c r="AI52" s="17">
        <v>-1636214</v>
      </c>
      <c r="AJ52" s="21"/>
      <c r="AK52" s="17">
        <v>0</v>
      </c>
      <c r="AL52" s="1"/>
      <c r="AM52" s="17">
        <v>0</v>
      </c>
      <c r="AN52" s="1"/>
      <c r="AO52" s="17">
        <f>3350661+25470</f>
        <v>3376131</v>
      </c>
      <c r="AP52" s="1"/>
      <c r="AQ52" s="17">
        <f t="shared" si="15"/>
        <v>1730853</v>
      </c>
      <c r="AR52" s="21"/>
      <c r="AS52" s="1">
        <v>0</v>
      </c>
      <c r="AT52" s="1"/>
      <c r="AU52" s="1">
        <v>0</v>
      </c>
      <c r="AV52" s="1"/>
      <c r="AW52" s="17">
        <f t="shared" si="16"/>
        <v>12797780</v>
      </c>
      <c r="AX52" s="1"/>
      <c r="AY52" s="68" t="s">
        <v>48</v>
      </c>
      <c r="AZ52" s="1"/>
      <c r="BA52" s="17">
        <f>1422700+69700</f>
        <v>1492400</v>
      </c>
      <c r="BB52" s="1"/>
      <c r="BC52" s="17">
        <v>0</v>
      </c>
      <c r="BD52" s="1"/>
      <c r="BE52" s="17">
        <f>29998873+2686299</f>
        <v>32685172</v>
      </c>
      <c r="BF52" s="1"/>
      <c r="BG52" s="17">
        <f>854963+449966+2075000+29033</f>
        <v>3408962</v>
      </c>
      <c r="BH52" s="1"/>
      <c r="BI52" s="1"/>
      <c r="BJ52" s="1"/>
      <c r="BK52" s="17">
        <f t="shared" si="17"/>
        <v>37586534</v>
      </c>
      <c r="BL52" s="65"/>
    </row>
    <row r="53" spans="1:64" ht="12" customHeight="1" hidden="1">
      <c r="A53" s="63" t="s">
        <v>170</v>
      </c>
      <c r="B53" s="63"/>
      <c r="C53" s="17">
        <f t="shared" si="9"/>
        <v>0</v>
      </c>
      <c r="D53" s="17"/>
      <c r="E53" s="17">
        <v>0</v>
      </c>
      <c r="F53" s="17"/>
      <c r="G53" s="17">
        <v>0</v>
      </c>
      <c r="H53" s="17"/>
      <c r="I53" s="17">
        <f t="shared" si="10"/>
        <v>0</v>
      </c>
      <c r="J53" s="17"/>
      <c r="K53" s="17">
        <f t="shared" si="11"/>
        <v>0</v>
      </c>
      <c r="L53" s="17"/>
      <c r="M53" s="17">
        <v>0</v>
      </c>
      <c r="N53" s="17"/>
      <c r="O53" s="17">
        <v>0</v>
      </c>
      <c r="P53" s="17"/>
      <c r="Q53" s="17">
        <v>0</v>
      </c>
      <c r="R53" s="17"/>
      <c r="S53" s="17">
        <v>0</v>
      </c>
      <c r="T53" s="17"/>
      <c r="U53" s="17">
        <f t="shared" si="12"/>
        <v>0</v>
      </c>
      <c r="V53" s="17"/>
      <c r="W53" s="17">
        <f t="shared" si="13"/>
        <v>0</v>
      </c>
      <c r="X53" s="17"/>
      <c r="Y53" s="68" t="s">
        <v>170</v>
      </c>
      <c r="Z53" s="17"/>
      <c r="AA53" s="17">
        <v>0</v>
      </c>
      <c r="AB53" s="1"/>
      <c r="AC53" s="17">
        <v>0</v>
      </c>
      <c r="AD53" s="1"/>
      <c r="AE53" s="17">
        <v>0</v>
      </c>
      <c r="AF53" s="1"/>
      <c r="AG53" s="17">
        <f t="shared" si="14"/>
        <v>0</v>
      </c>
      <c r="AH53" s="21"/>
      <c r="AI53" s="17">
        <v>0</v>
      </c>
      <c r="AJ53" s="21"/>
      <c r="AK53" s="17">
        <v>0</v>
      </c>
      <c r="AL53" s="1"/>
      <c r="AM53" s="17">
        <v>0</v>
      </c>
      <c r="AN53" s="1"/>
      <c r="AO53" s="17">
        <v>0</v>
      </c>
      <c r="AP53" s="1"/>
      <c r="AQ53" s="17">
        <f t="shared" si="15"/>
        <v>0</v>
      </c>
      <c r="AR53" s="21"/>
      <c r="AS53" s="1">
        <v>0</v>
      </c>
      <c r="AT53" s="1"/>
      <c r="AU53" s="1">
        <v>0</v>
      </c>
      <c r="AV53" s="1"/>
      <c r="AW53" s="17">
        <f t="shared" si="16"/>
        <v>0</v>
      </c>
      <c r="AX53" s="1"/>
      <c r="AY53" s="68" t="s">
        <v>170</v>
      </c>
      <c r="AZ53" s="1"/>
      <c r="BA53" s="17">
        <v>0</v>
      </c>
      <c r="BB53" s="1"/>
      <c r="BC53" s="17">
        <v>0</v>
      </c>
      <c r="BD53" s="1"/>
      <c r="BE53" s="17">
        <v>0</v>
      </c>
      <c r="BF53" s="1"/>
      <c r="BG53" s="17">
        <v>0</v>
      </c>
      <c r="BH53" s="1"/>
      <c r="BI53" s="1"/>
      <c r="BJ53" s="1"/>
      <c r="BK53" s="17">
        <f t="shared" si="17"/>
        <v>0</v>
      </c>
      <c r="BL53" s="65"/>
    </row>
    <row r="54" spans="1:64" ht="12" customHeight="1">
      <c r="A54" s="63" t="s">
        <v>49</v>
      </c>
      <c r="B54" s="63"/>
      <c r="C54" s="17">
        <f t="shared" si="9"/>
        <v>9099004</v>
      </c>
      <c r="D54" s="17"/>
      <c r="E54" s="17">
        <v>12171966</v>
      </c>
      <c r="F54" s="17"/>
      <c r="G54" s="17">
        <v>21270970</v>
      </c>
      <c r="H54" s="17"/>
      <c r="I54" s="17">
        <f t="shared" si="10"/>
        <v>10693180</v>
      </c>
      <c r="J54" s="17"/>
      <c r="K54" s="17">
        <f t="shared" si="11"/>
        <v>55376</v>
      </c>
      <c r="L54" s="17"/>
      <c r="M54" s="17">
        <v>10748556</v>
      </c>
      <c r="N54" s="17"/>
      <c r="O54" s="17">
        <v>12060966</v>
      </c>
      <c r="P54" s="17"/>
      <c r="Q54" s="17">
        <v>0</v>
      </c>
      <c r="R54" s="17"/>
      <c r="S54" s="17">
        <v>-1538552</v>
      </c>
      <c r="T54" s="17"/>
      <c r="U54" s="17">
        <f t="shared" si="12"/>
        <v>10522414</v>
      </c>
      <c r="V54" s="17"/>
      <c r="W54" s="17">
        <f t="shared" si="13"/>
        <v>0</v>
      </c>
      <c r="X54" s="17"/>
      <c r="Y54" s="68" t="s">
        <v>49</v>
      </c>
      <c r="Z54" s="17"/>
      <c r="AA54" s="17">
        <v>2032973</v>
      </c>
      <c r="AB54" s="1"/>
      <c r="AC54" s="17">
        <f>1872646-312936</f>
        <v>1559710</v>
      </c>
      <c r="AD54" s="1"/>
      <c r="AE54" s="17">
        <v>312936</v>
      </c>
      <c r="AF54" s="1"/>
      <c r="AG54" s="17">
        <f t="shared" si="14"/>
        <v>160327</v>
      </c>
      <c r="AH54" s="21"/>
      <c r="AI54" s="17">
        <v>-343998</v>
      </c>
      <c r="AJ54" s="21"/>
      <c r="AK54" s="17">
        <v>0</v>
      </c>
      <c r="AL54" s="1"/>
      <c r="AM54" s="17">
        <v>146221</v>
      </c>
      <c r="AN54" s="1"/>
      <c r="AO54" s="17">
        <v>0</v>
      </c>
      <c r="AP54" s="1"/>
      <c r="AQ54" s="17">
        <f t="shared" si="15"/>
        <v>-329892</v>
      </c>
      <c r="AR54" s="21"/>
      <c r="AS54" s="1">
        <v>0</v>
      </c>
      <c r="AT54" s="1"/>
      <c r="AU54" s="1">
        <v>0</v>
      </c>
      <c r="AV54" s="1"/>
      <c r="AW54" s="17">
        <f t="shared" si="16"/>
        <v>-1594176</v>
      </c>
      <c r="AX54" s="1"/>
      <c r="AY54" s="68" t="s">
        <v>49</v>
      </c>
      <c r="AZ54" s="1"/>
      <c r="BA54" s="17">
        <v>0</v>
      </c>
      <c r="BB54" s="1"/>
      <c r="BC54" s="17">
        <v>0</v>
      </c>
      <c r="BD54" s="1"/>
      <c r="BE54" s="17">
        <v>0</v>
      </c>
      <c r="BF54" s="1"/>
      <c r="BG54" s="17">
        <v>55376</v>
      </c>
      <c r="BH54" s="1"/>
      <c r="BI54" s="1"/>
      <c r="BJ54" s="1"/>
      <c r="BK54" s="17">
        <f t="shared" si="17"/>
        <v>55376</v>
      </c>
      <c r="BL54" s="65"/>
    </row>
    <row r="55" spans="1:64" ht="12" customHeight="1" hidden="1">
      <c r="A55" s="63" t="s">
        <v>50</v>
      </c>
      <c r="B55" s="63"/>
      <c r="C55" s="17">
        <f t="shared" si="9"/>
        <v>0</v>
      </c>
      <c r="D55" s="17"/>
      <c r="E55" s="17">
        <v>0</v>
      </c>
      <c r="F55" s="17"/>
      <c r="G55" s="17">
        <v>0</v>
      </c>
      <c r="H55" s="17"/>
      <c r="I55" s="17">
        <f t="shared" si="10"/>
        <v>0</v>
      </c>
      <c r="J55" s="17"/>
      <c r="K55" s="17">
        <f t="shared" si="11"/>
        <v>0</v>
      </c>
      <c r="L55" s="17"/>
      <c r="M55" s="17">
        <v>0</v>
      </c>
      <c r="N55" s="17"/>
      <c r="O55" s="17">
        <v>0</v>
      </c>
      <c r="P55" s="17"/>
      <c r="Q55" s="17">
        <v>0</v>
      </c>
      <c r="R55" s="17"/>
      <c r="S55" s="17">
        <v>0</v>
      </c>
      <c r="T55" s="17"/>
      <c r="U55" s="17">
        <f t="shared" si="12"/>
        <v>0</v>
      </c>
      <c r="V55" s="17"/>
      <c r="W55" s="17">
        <f t="shared" si="13"/>
        <v>0</v>
      </c>
      <c r="X55" s="17"/>
      <c r="Y55" s="68" t="s">
        <v>50</v>
      </c>
      <c r="Z55" s="17"/>
      <c r="AA55" s="17">
        <v>0</v>
      </c>
      <c r="AB55" s="1"/>
      <c r="AC55" s="17">
        <v>0</v>
      </c>
      <c r="AD55" s="1"/>
      <c r="AE55" s="17">
        <v>0</v>
      </c>
      <c r="AF55" s="1"/>
      <c r="AG55" s="17">
        <f t="shared" si="14"/>
        <v>0</v>
      </c>
      <c r="AH55" s="21"/>
      <c r="AI55" s="17">
        <v>0</v>
      </c>
      <c r="AJ55" s="21"/>
      <c r="AK55" s="17">
        <v>0</v>
      </c>
      <c r="AL55" s="1"/>
      <c r="AM55" s="17">
        <v>0</v>
      </c>
      <c r="AN55" s="1"/>
      <c r="AO55" s="17">
        <v>0</v>
      </c>
      <c r="AP55" s="1"/>
      <c r="AQ55" s="17">
        <f t="shared" si="15"/>
        <v>0</v>
      </c>
      <c r="AR55" s="21"/>
      <c r="AS55" s="1">
        <v>0</v>
      </c>
      <c r="AT55" s="1"/>
      <c r="AU55" s="1">
        <v>0</v>
      </c>
      <c r="AV55" s="1"/>
      <c r="AW55" s="17">
        <f t="shared" si="16"/>
        <v>0</v>
      </c>
      <c r="AX55" s="1"/>
      <c r="AY55" s="68" t="s">
        <v>50</v>
      </c>
      <c r="AZ55" s="1"/>
      <c r="BA55" s="17">
        <v>0</v>
      </c>
      <c r="BB55" s="1"/>
      <c r="BC55" s="17">
        <v>0</v>
      </c>
      <c r="BD55" s="1"/>
      <c r="BE55" s="17">
        <v>0</v>
      </c>
      <c r="BF55" s="1"/>
      <c r="BG55" s="17">
        <v>0</v>
      </c>
      <c r="BH55" s="1"/>
      <c r="BI55" s="1"/>
      <c r="BJ55" s="1"/>
      <c r="BK55" s="17">
        <f t="shared" si="17"/>
        <v>0</v>
      </c>
      <c r="BL55" s="65"/>
    </row>
    <row r="56" spans="1:64" ht="12" customHeight="1">
      <c r="A56" s="63" t="s">
        <v>260</v>
      </c>
      <c r="B56" s="63"/>
      <c r="C56" s="17">
        <f t="shared" si="9"/>
        <v>409110</v>
      </c>
      <c r="D56" s="17"/>
      <c r="E56" s="17">
        <v>10287006</v>
      </c>
      <c r="F56" s="17"/>
      <c r="G56" s="17">
        <v>10696116</v>
      </c>
      <c r="H56" s="17"/>
      <c r="I56" s="17">
        <f t="shared" si="10"/>
        <v>618190</v>
      </c>
      <c r="J56" s="17"/>
      <c r="K56" s="17">
        <f t="shared" si="11"/>
        <v>1086936</v>
      </c>
      <c r="L56" s="17"/>
      <c r="M56" s="17">
        <v>1705126</v>
      </c>
      <c r="N56" s="17"/>
      <c r="O56" s="17">
        <v>9200071</v>
      </c>
      <c r="P56" s="17"/>
      <c r="Q56" s="17">
        <v>0</v>
      </c>
      <c r="R56" s="17"/>
      <c r="S56" s="17">
        <v>-209081</v>
      </c>
      <c r="T56" s="17"/>
      <c r="U56" s="17">
        <f t="shared" si="12"/>
        <v>8990990</v>
      </c>
      <c r="V56" s="17"/>
      <c r="W56" s="17">
        <f t="shared" si="13"/>
        <v>0</v>
      </c>
      <c r="X56" s="17"/>
      <c r="Y56" s="68" t="s">
        <v>51</v>
      </c>
      <c r="Z56" s="17"/>
      <c r="AA56" s="17">
        <v>1252271</v>
      </c>
      <c r="AB56" s="1"/>
      <c r="AC56" s="17">
        <f>1112447-277889</f>
        <v>834558</v>
      </c>
      <c r="AD56" s="1"/>
      <c r="AE56" s="17">
        <v>277889</v>
      </c>
      <c r="AF56" s="1"/>
      <c r="AG56" s="17">
        <f t="shared" si="14"/>
        <v>139824</v>
      </c>
      <c r="AH56" s="21"/>
      <c r="AI56" s="17">
        <v>-74401</v>
      </c>
      <c r="AJ56" s="21"/>
      <c r="AK56" s="17">
        <v>0</v>
      </c>
      <c r="AL56" s="1"/>
      <c r="AM56" s="17">
        <v>0</v>
      </c>
      <c r="AN56" s="1"/>
      <c r="AO56" s="17">
        <v>0</v>
      </c>
      <c r="AP56" s="1"/>
      <c r="AQ56" s="17">
        <f t="shared" si="15"/>
        <v>65423</v>
      </c>
      <c r="AR56" s="21"/>
      <c r="AS56" s="1">
        <v>0</v>
      </c>
      <c r="AT56" s="1"/>
      <c r="AU56" s="1">
        <v>0</v>
      </c>
      <c r="AV56" s="1"/>
      <c r="AW56" s="17">
        <f t="shared" si="16"/>
        <v>-209080</v>
      </c>
      <c r="AX56" s="1"/>
      <c r="AY56" s="68" t="s">
        <v>51</v>
      </c>
      <c r="AZ56" s="1"/>
      <c r="BA56" s="17">
        <v>0</v>
      </c>
      <c r="BB56" s="1"/>
      <c r="BC56" s="17">
        <v>0</v>
      </c>
      <c r="BD56" s="1"/>
      <c r="BE56" s="17">
        <f>129592+957344</f>
        <v>1086936</v>
      </c>
      <c r="BF56" s="1"/>
      <c r="BG56" s="17">
        <v>0</v>
      </c>
      <c r="BH56" s="1"/>
      <c r="BI56" s="1"/>
      <c r="BJ56" s="1"/>
      <c r="BK56" s="17">
        <f t="shared" si="17"/>
        <v>1086936</v>
      </c>
      <c r="BL56" s="65"/>
    </row>
    <row r="57" spans="1:64" ht="12" customHeight="1">
      <c r="A57" s="63" t="s">
        <v>186</v>
      </c>
      <c r="B57" s="63"/>
      <c r="C57" s="17">
        <f t="shared" si="9"/>
        <v>12699000</v>
      </c>
      <c r="D57" s="17"/>
      <c r="E57" s="17">
        <f>39160000+25710000</f>
        <v>64870000</v>
      </c>
      <c r="F57" s="17"/>
      <c r="G57" s="17">
        <f>44485000+33084000</f>
        <v>77569000</v>
      </c>
      <c r="H57" s="17"/>
      <c r="I57" s="17">
        <f t="shared" si="10"/>
        <v>1061000</v>
      </c>
      <c r="J57" s="17"/>
      <c r="K57" s="17">
        <f t="shared" si="11"/>
        <v>25559000</v>
      </c>
      <c r="L57" s="17"/>
      <c r="M57" s="17">
        <f>3015000+23605000</f>
        <v>26620000</v>
      </c>
      <c r="N57" s="17"/>
      <c r="O57" s="17">
        <f>36153000+2410000</f>
        <v>38563000</v>
      </c>
      <c r="P57" s="17"/>
      <c r="Q57" s="17">
        <v>0</v>
      </c>
      <c r="R57" s="17"/>
      <c r="S57" s="17">
        <f>5317000+7069000</f>
        <v>12386000</v>
      </c>
      <c r="T57" s="17"/>
      <c r="U57" s="17">
        <f t="shared" si="12"/>
        <v>50949000</v>
      </c>
      <c r="V57" s="17"/>
      <c r="W57" s="17">
        <f t="shared" si="13"/>
        <v>0</v>
      </c>
      <c r="X57" s="17"/>
      <c r="Y57" s="68" t="s">
        <v>186</v>
      </c>
      <c r="Z57" s="17"/>
      <c r="AA57" s="17">
        <f>1649000+4294000</f>
        <v>5943000</v>
      </c>
      <c r="AB57" s="1"/>
      <c r="AC57" s="17">
        <f>2559000-1678000+3727000-798000</f>
        <v>3810000</v>
      </c>
      <c r="AD57" s="1"/>
      <c r="AE57" s="17">
        <f>1678000+798000</f>
        <v>2476000</v>
      </c>
      <c r="AF57" s="1"/>
      <c r="AG57" s="17">
        <f t="shared" si="14"/>
        <v>-343000</v>
      </c>
      <c r="AH57" s="21"/>
      <c r="AI57" s="17">
        <f>-133000-1149000</f>
        <v>-1282000</v>
      </c>
      <c r="AJ57" s="21"/>
      <c r="AK57" s="17">
        <v>0</v>
      </c>
      <c r="AL57" s="1"/>
      <c r="AM57" s="17">
        <v>0</v>
      </c>
      <c r="AN57" s="1"/>
      <c r="AO57" s="17">
        <v>1255000</v>
      </c>
      <c r="AP57" s="1"/>
      <c r="AQ57" s="17">
        <f t="shared" si="15"/>
        <v>-370000</v>
      </c>
      <c r="AR57" s="21"/>
      <c r="AS57" s="1">
        <v>0</v>
      </c>
      <c r="AT57" s="1"/>
      <c r="AU57" s="1">
        <v>0</v>
      </c>
      <c r="AV57" s="1"/>
      <c r="AW57" s="17">
        <f t="shared" si="16"/>
        <v>11638000</v>
      </c>
      <c r="AX57" s="1"/>
      <c r="AY57" s="68" t="s">
        <v>186</v>
      </c>
      <c r="AZ57" s="1"/>
      <c r="BA57" s="17">
        <v>0</v>
      </c>
      <c r="BB57" s="1"/>
      <c r="BC57" s="17">
        <v>0</v>
      </c>
      <c r="BD57" s="1"/>
      <c r="BE57" s="17">
        <f>1751000+1111000+21405000+1292000</f>
        <v>25559000</v>
      </c>
      <c r="BF57" s="1"/>
      <c r="BG57" s="17">
        <v>0</v>
      </c>
      <c r="BH57" s="1"/>
      <c r="BI57" s="1"/>
      <c r="BJ57" s="1"/>
      <c r="BK57" s="17">
        <f t="shared" si="17"/>
        <v>25559000</v>
      </c>
      <c r="BL57" s="65"/>
    </row>
    <row r="58" spans="1:64" ht="12" customHeight="1" hidden="1">
      <c r="A58" s="63" t="s">
        <v>52</v>
      </c>
      <c r="B58" s="63"/>
      <c r="C58" s="17">
        <f t="shared" si="9"/>
        <v>0</v>
      </c>
      <c r="D58" s="17"/>
      <c r="E58" s="17"/>
      <c r="F58" s="17"/>
      <c r="G58" s="17"/>
      <c r="H58" s="17"/>
      <c r="I58" s="17">
        <f t="shared" si="10"/>
        <v>0</v>
      </c>
      <c r="J58" s="17"/>
      <c r="K58" s="17">
        <f t="shared" si="11"/>
        <v>0</v>
      </c>
      <c r="L58" s="17"/>
      <c r="M58" s="17"/>
      <c r="N58" s="17"/>
      <c r="O58" s="17"/>
      <c r="P58" s="17"/>
      <c r="Q58" s="17"/>
      <c r="R58" s="17"/>
      <c r="S58" s="17"/>
      <c r="T58" s="17"/>
      <c r="U58" s="17">
        <f t="shared" si="12"/>
        <v>0</v>
      </c>
      <c r="V58" s="17"/>
      <c r="W58" s="17">
        <f t="shared" si="13"/>
        <v>0</v>
      </c>
      <c r="X58" s="17"/>
      <c r="Y58" s="68" t="s">
        <v>52</v>
      </c>
      <c r="Z58" s="17"/>
      <c r="AA58" s="17"/>
      <c r="AB58" s="1"/>
      <c r="AC58" s="17"/>
      <c r="AD58" s="1"/>
      <c r="AE58" s="17"/>
      <c r="AF58" s="1"/>
      <c r="AG58" s="17">
        <f t="shared" si="14"/>
        <v>0</v>
      </c>
      <c r="AH58" s="21"/>
      <c r="AI58" s="17"/>
      <c r="AJ58" s="21"/>
      <c r="AK58" s="17"/>
      <c r="AL58" s="1"/>
      <c r="AM58" s="17"/>
      <c r="AN58" s="1"/>
      <c r="AO58" s="17"/>
      <c r="AP58" s="1"/>
      <c r="AQ58" s="17">
        <f t="shared" si="15"/>
        <v>0</v>
      </c>
      <c r="AR58" s="21"/>
      <c r="AS58" s="1">
        <v>0</v>
      </c>
      <c r="AT58" s="1"/>
      <c r="AU58" s="1">
        <v>0</v>
      </c>
      <c r="AV58" s="1"/>
      <c r="AW58" s="17">
        <f t="shared" si="16"/>
        <v>0</v>
      </c>
      <c r="AX58" s="1"/>
      <c r="AY58" s="68" t="s">
        <v>52</v>
      </c>
      <c r="AZ58" s="1"/>
      <c r="BA58" s="17"/>
      <c r="BB58" s="1"/>
      <c r="BC58" s="17"/>
      <c r="BD58" s="1"/>
      <c r="BE58" s="17"/>
      <c r="BF58" s="1"/>
      <c r="BG58" s="17"/>
      <c r="BH58" s="1"/>
      <c r="BI58" s="1"/>
      <c r="BJ58" s="1"/>
      <c r="BK58" s="17">
        <f t="shared" si="17"/>
        <v>0</v>
      </c>
      <c r="BL58" s="65"/>
    </row>
    <row r="59" spans="1:64" ht="12" customHeight="1">
      <c r="A59" s="63" t="s">
        <v>53</v>
      </c>
      <c r="B59" s="63"/>
      <c r="C59" s="17">
        <f t="shared" si="9"/>
        <v>22890560</v>
      </c>
      <c r="D59" s="17"/>
      <c r="E59" s="17">
        <v>66817344</v>
      </c>
      <c r="F59" s="17"/>
      <c r="G59" s="17">
        <v>89707904</v>
      </c>
      <c r="H59" s="17"/>
      <c r="I59" s="17">
        <f t="shared" si="10"/>
        <v>8924231</v>
      </c>
      <c r="J59" s="17"/>
      <c r="K59" s="17">
        <f t="shared" si="11"/>
        <v>19779065</v>
      </c>
      <c r="L59" s="17"/>
      <c r="M59" s="17">
        <v>28703296</v>
      </c>
      <c r="N59" s="17"/>
      <c r="O59" s="17">
        <v>39361801</v>
      </c>
      <c r="P59" s="17"/>
      <c r="Q59" s="17">
        <v>0</v>
      </c>
      <c r="R59" s="17"/>
      <c r="S59" s="17">
        <v>21642807</v>
      </c>
      <c r="T59" s="17"/>
      <c r="U59" s="17">
        <f t="shared" si="12"/>
        <v>61004608</v>
      </c>
      <c r="V59" s="17"/>
      <c r="W59" s="17">
        <f t="shared" si="13"/>
        <v>0</v>
      </c>
      <c r="X59" s="17"/>
      <c r="Y59" s="68" t="s">
        <v>53</v>
      </c>
      <c r="Z59" s="17"/>
      <c r="AA59" s="17">
        <v>20439043</v>
      </c>
      <c r="AB59" s="1"/>
      <c r="AC59" s="17">
        <f>17876700-2895243</f>
        <v>14981457</v>
      </c>
      <c r="AD59" s="1"/>
      <c r="AE59" s="17">
        <v>2895243</v>
      </c>
      <c r="AF59" s="1"/>
      <c r="AG59" s="17">
        <f t="shared" si="14"/>
        <v>2562343</v>
      </c>
      <c r="AH59" s="21"/>
      <c r="AI59" s="17">
        <v>-567568</v>
      </c>
      <c r="AJ59" s="21"/>
      <c r="AK59" s="17">
        <v>236435</v>
      </c>
      <c r="AL59" s="1"/>
      <c r="AM59" s="17">
        <v>200789</v>
      </c>
      <c r="AN59" s="1"/>
      <c r="AO59" s="17">
        <v>4258794</v>
      </c>
      <c r="AP59" s="1"/>
      <c r="AQ59" s="17">
        <f t="shared" si="15"/>
        <v>6289215</v>
      </c>
      <c r="AR59" s="21"/>
      <c r="AS59" s="1">
        <v>0</v>
      </c>
      <c r="AT59" s="1"/>
      <c r="AU59" s="1">
        <v>0</v>
      </c>
      <c r="AV59" s="1"/>
      <c r="AW59" s="17">
        <f t="shared" si="16"/>
        <v>13966329</v>
      </c>
      <c r="AX59" s="1"/>
      <c r="AY59" s="68" t="s">
        <v>53</v>
      </c>
      <c r="AZ59" s="1"/>
      <c r="BA59" s="17">
        <v>0</v>
      </c>
      <c r="BB59" s="1"/>
      <c r="BC59" s="17">
        <f>216703+6760000</f>
        <v>6976703</v>
      </c>
      <c r="BD59" s="1"/>
      <c r="BE59" s="17">
        <f>1697900+10473215</f>
        <v>12171115</v>
      </c>
      <c r="BF59" s="1"/>
      <c r="BG59" s="17">
        <v>631247</v>
      </c>
      <c r="BH59" s="1"/>
      <c r="BI59" s="1"/>
      <c r="BJ59" s="1"/>
      <c r="BK59" s="17">
        <f t="shared" si="17"/>
        <v>19779065</v>
      </c>
      <c r="BL59" s="65"/>
    </row>
    <row r="60" spans="1:64" ht="12" customHeight="1">
      <c r="A60" s="63" t="s">
        <v>54</v>
      </c>
      <c r="B60" s="63"/>
      <c r="C60" s="17">
        <f t="shared" si="9"/>
        <v>2562581</v>
      </c>
      <c r="D60" s="17"/>
      <c r="E60" s="17">
        <v>8652769</v>
      </c>
      <c r="F60" s="17"/>
      <c r="G60" s="17">
        <v>11215350</v>
      </c>
      <c r="H60" s="17"/>
      <c r="I60" s="17">
        <f t="shared" si="10"/>
        <v>0</v>
      </c>
      <c r="J60" s="17"/>
      <c r="K60" s="17">
        <f t="shared" si="11"/>
        <v>2739972</v>
      </c>
      <c r="L60" s="17"/>
      <c r="M60" s="17">
        <v>2739972</v>
      </c>
      <c r="N60" s="17"/>
      <c r="O60" s="17">
        <v>5868440</v>
      </c>
      <c r="P60" s="17"/>
      <c r="Q60" s="17">
        <v>0</v>
      </c>
      <c r="R60" s="17"/>
      <c r="S60" s="17">
        <v>2441114</v>
      </c>
      <c r="T60" s="17"/>
      <c r="U60" s="17">
        <f t="shared" si="12"/>
        <v>8309554</v>
      </c>
      <c r="V60" s="17"/>
      <c r="W60" s="17">
        <f t="shared" si="13"/>
        <v>165824</v>
      </c>
      <c r="X60" s="17"/>
      <c r="Y60" s="68" t="s">
        <v>54</v>
      </c>
      <c r="Z60" s="17"/>
      <c r="AA60" s="17">
        <v>1073764</v>
      </c>
      <c r="AB60" s="1"/>
      <c r="AC60" s="17">
        <f>1073603-333075</f>
        <v>740528</v>
      </c>
      <c r="AD60" s="1"/>
      <c r="AE60" s="17">
        <v>333075</v>
      </c>
      <c r="AF60" s="1"/>
      <c r="AG60" s="17">
        <f t="shared" si="14"/>
        <v>161</v>
      </c>
      <c r="AH60" s="21"/>
      <c r="AI60" s="17">
        <v>-55278</v>
      </c>
      <c r="AJ60" s="21"/>
      <c r="AK60" s="17">
        <v>0</v>
      </c>
      <c r="AL60" s="1"/>
      <c r="AM60" s="17">
        <v>0</v>
      </c>
      <c r="AN60" s="1"/>
      <c r="AO60" s="17">
        <v>91878</v>
      </c>
      <c r="AP60" s="1"/>
      <c r="AQ60" s="17">
        <f t="shared" si="15"/>
        <v>36761</v>
      </c>
      <c r="AR60" s="21"/>
      <c r="AS60" s="1">
        <v>0</v>
      </c>
      <c r="AT60" s="1"/>
      <c r="AU60" s="1">
        <v>0</v>
      </c>
      <c r="AV60" s="1"/>
      <c r="AW60" s="17">
        <f t="shared" si="16"/>
        <v>2562581</v>
      </c>
      <c r="AX60" s="1"/>
      <c r="AY60" s="68" t="s">
        <v>54</v>
      </c>
      <c r="AZ60" s="1"/>
      <c r="BA60" s="17">
        <v>2310000</v>
      </c>
      <c r="BB60" s="1"/>
      <c r="BC60" s="17">
        <v>0</v>
      </c>
      <c r="BD60" s="1"/>
      <c r="BE60" s="17">
        <v>399481</v>
      </c>
      <c r="BF60" s="1"/>
      <c r="BG60" s="17">
        <v>30491</v>
      </c>
      <c r="BH60" s="1"/>
      <c r="BI60" s="1"/>
      <c r="BJ60" s="1"/>
      <c r="BK60" s="17">
        <f t="shared" si="17"/>
        <v>2739972</v>
      </c>
      <c r="BL60" s="70"/>
    </row>
    <row r="61" spans="1:64" ht="12" customHeight="1">
      <c r="A61" s="63" t="s">
        <v>55</v>
      </c>
      <c r="B61" s="63"/>
      <c r="C61" s="17">
        <f t="shared" si="9"/>
        <v>15085745</v>
      </c>
      <c r="D61" s="17"/>
      <c r="E61" s="17">
        <v>145916445</v>
      </c>
      <c r="F61" s="17"/>
      <c r="G61" s="17">
        <v>161002190</v>
      </c>
      <c r="H61" s="17"/>
      <c r="I61" s="17">
        <f t="shared" si="10"/>
        <v>4319055</v>
      </c>
      <c r="J61" s="17"/>
      <c r="K61" s="17">
        <f t="shared" si="11"/>
        <v>46314023</v>
      </c>
      <c r="L61" s="17"/>
      <c r="M61" s="17">
        <v>50633078</v>
      </c>
      <c r="N61" s="17"/>
      <c r="O61" s="17">
        <v>100374994</v>
      </c>
      <c r="P61" s="17"/>
      <c r="Q61" s="17">
        <v>0</v>
      </c>
      <c r="R61" s="17"/>
      <c r="S61" s="17">
        <v>9994118</v>
      </c>
      <c r="T61" s="17"/>
      <c r="U61" s="17">
        <f t="shared" si="12"/>
        <v>110369112</v>
      </c>
      <c r="V61" s="17"/>
      <c r="W61" s="17">
        <f t="shared" si="13"/>
        <v>0</v>
      </c>
      <c r="X61" s="17"/>
      <c r="Y61" s="68" t="s">
        <v>55</v>
      </c>
      <c r="Z61" s="17"/>
      <c r="AA61" s="17">
        <v>11744200</v>
      </c>
      <c r="AB61" s="1"/>
      <c r="AC61" s="17">
        <f>15853576-4498174</f>
        <v>11355402</v>
      </c>
      <c r="AD61" s="1"/>
      <c r="AE61" s="17">
        <v>4498174</v>
      </c>
      <c r="AF61" s="1"/>
      <c r="AG61" s="17">
        <f t="shared" si="14"/>
        <v>-4109376</v>
      </c>
      <c r="AH61" s="21"/>
      <c r="AI61" s="17">
        <v>-1334079</v>
      </c>
      <c r="AJ61" s="21"/>
      <c r="AK61" s="17">
        <v>0</v>
      </c>
      <c r="AL61" s="1"/>
      <c r="AM61" s="17">
        <v>0</v>
      </c>
      <c r="AN61" s="1"/>
      <c r="AO61" s="17">
        <v>4028823</v>
      </c>
      <c r="AP61" s="1"/>
      <c r="AQ61" s="17">
        <f t="shared" si="15"/>
        <v>-1414632</v>
      </c>
      <c r="AR61" s="21"/>
      <c r="AS61" s="1">
        <v>0</v>
      </c>
      <c r="AT61" s="1"/>
      <c r="AU61" s="1">
        <v>0</v>
      </c>
      <c r="AV61" s="1"/>
      <c r="AW61" s="17">
        <f t="shared" si="16"/>
        <v>10766690</v>
      </c>
      <c r="AX61" s="1"/>
      <c r="AY61" s="68" t="s">
        <v>55</v>
      </c>
      <c r="AZ61" s="1"/>
      <c r="BA61" s="17">
        <v>0</v>
      </c>
      <c r="BB61" s="1"/>
      <c r="BC61" s="17">
        <v>0</v>
      </c>
      <c r="BD61" s="1"/>
      <c r="BE61" s="17">
        <v>45811596</v>
      </c>
      <c r="BF61" s="1"/>
      <c r="BG61" s="17">
        <v>502427</v>
      </c>
      <c r="BH61" s="1"/>
      <c r="BI61" s="1"/>
      <c r="BJ61" s="1"/>
      <c r="BK61" s="17">
        <f t="shared" si="17"/>
        <v>46314023</v>
      </c>
      <c r="BL61" s="70"/>
    </row>
    <row r="62" spans="1:65" ht="12" customHeight="1" hidden="1">
      <c r="A62" s="14" t="s">
        <v>171</v>
      </c>
      <c r="B62" s="14"/>
      <c r="C62" s="17">
        <f t="shared" si="9"/>
        <v>0</v>
      </c>
      <c r="D62" s="17"/>
      <c r="E62" s="17">
        <v>0</v>
      </c>
      <c r="F62" s="17"/>
      <c r="G62" s="17">
        <v>0</v>
      </c>
      <c r="H62" s="17"/>
      <c r="I62" s="17">
        <f t="shared" si="10"/>
        <v>0</v>
      </c>
      <c r="J62" s="17"/>
      <c r="K62" s="17">
        <f t="shared" si="11"/>
        <v>0</v>
      </c>
      <c r="L62" s="17"/>
      <c r="M62" s="17">
        <v>0</v>
      </c>
      <c r="N62" s="17"/>
      <c r="O62" s="17">
        <v>0</v>
      </c>
      <c r="P62" s="17"/>
      <c r="Q62" s="17">
        <v>0</v>
      </c>
      <c r="R62" s="17"/>
      <c r="S62" s="17">
        <v>0</v>
      </c>
      <c r="T62" s="17"/>
      <c r="U62" s="17">
        <f t="shared" si="12"/>
        <v>0</v>
      </c>
      <c r="V62" s="17"/>
      <c r="W62" s="17">
        <f t="shared" si="13"/>
        <v>0</v>
      </c>
      <c r="X62" s="17"/>
      <c r="Y62" s="5" t="s">
        <v>171</v>
      </c>
      <c r="Z62" s="17"/>
      <c r="AA62" s="17">
        <v>0</v>
      </c>
      <c r="AB62" s="1"/>
      <c r="AC62" s="17">
        <v>0</v>
      </c>
      <c r="AD62" s="1"/>
      <c r="AE62" s="17">
        <v>0</v>
      </c>
      <c r="AF62" s="1"/>
      <c r="AG62" s="17">
        <f t="shared" si="14"/>
        <v>0</v>
      </c>
      <c r="AH62" s="21"/>
      <c r="AI62" s="17">
        <v>0</v>
      </c>
      <c r="AJ62" s="21"/>
      <c r="AK62" s="17">
        <v>0</v>
      </c>
      <c r="AL62" s="1"/>
      <c r="AM62" s="17">
        <v>0</v>
      </c>
      <c r="AN62" s="1"/>
      <c r="AO62" s="17">
        <v>0</v>
      </c>
      <c r="AP62" s="1"/>
      <c r="AQ62" s="17">
        <f t="shared" si="15"/>
        <v>0</v>
      </c>
      <c r="AR62" s="21"/>
      <c r="AS62" s="1">
        <v>0</v>
      </c>
      <c r="AT62" s="1"/>
      <c r="AU62" s="1">
        <v>0</v>
      </c>
      <c r="AV62" s="1"/>
      <c r="AW62" s="17">
        <f t="shared" si="16"/>
        <v>0</v>
      </c>
      <c r="AX62" s="17"/>
      <c r="AY62" s="5" t="s">
        <v>171</v>
      </c>
      <c r="AZ62" s="17"/>
      <c r="BA62" s="17">
        <v>0</v>
      </c>
      <c r="BB62" s="1"/>
      <c r="BC62" s="17">
        <v>0</v>
      </c>
      <c r="BD62" s="1"/>
      <c r="BE62" s="17">
        <v>0</v>
      </c>
      <c r="BF62" s="1"/>
      <c r="BG62" s="17">
        <v>0</v>
      </c>
      <c r="BH62" s="1"/>
      <c r="BI62" s="1"/>
      <c r="BJ62" s="1"/>
      <c r="BK62" s="17">
        <f t="shared" si="17"/>
        <v>0</v>
      </c>
      <c r="BL62" s="65"/>
      <c r="BM62" s="65"/>
    </row>
    <row r="63" spans="1:64" ht="12" customHeight="1" hidden="1">
      <c r="A63" s="63" t="s">
        <v>56</v>
      </c>
      <c r="B63" s="63"/>
      <c r="C63" s="17">
        <f t="shared" si="9"/>
        <v>0</v>
      </c>
      <c r="D63" s="17"/>
      <c r="E63" s="17"/>
      <c r="F63" s="17"/>
      <c r="G63" s="17"/>
      <c r="H63" s="17"/>
      <c r="I63" s="17">
        <f t="shared" si="10"/>
        <v>0</v>
      </c>
      <c r="J63" s="17"/>
      <c r="K63" s="17">
        <f t="shared" si="11"/>
        <v>0</v>
      </c>
      <c r="L63" s="17"/>
      <c r="M63" s="17"/>
      <c r="N63" s="17"/>
      <c r="O63" s="17"/>
      <c r="P63" s="17"/>
      <c r="Q63" s="17"/>
      <c r="R63" s="17"/>
      <c r="S63" s="17"/>
      <c r="T63" s="17"/>
      <c r="U63" s="17">
        <f t="shared" si="12"/>
        <v>0</v>
      </c>
      <c r="V63" s="17"/>
      <c r="W63" s="17">
        <f t="shared" si="13"/>
        <v>0</v>
      </c>
      <c r="X63" s="17"/>
      <c r="Y63" s="68" t="s">
        <v>56</v>
      </c>
      <c r="Z63" s="17"/>
      <c r="AA63" s="17"/>
      <c r="AB63" s="1"/>
      <c r="AC63" s="17"/>
      <c r="AD63" s="1"/>
      <c r="AE63" s="17"/>
      <c r="AF63" s="1"/>
      <c r="AG63" s="17">
        <f t="shared" si="14"/>
        <v>0</v>
      </c>
      <c r="AH63" s="21"/>
      <c r="AI63" s="17"/>
      <c r="AJ63" s="21"/>
      <c r="AK63" s="17"/>
      <c r="AL63" s="1"/>
      <c r="AM63" s="17"/>
      <c r="AN63" s="1"/>
      <c r="AO63" s="17"/>
      <c r="AP63" s="1"/>
      <c r="AQ63" s="17">
        <f t="shared" si="15"/>
        <v>0</v>
      </c>
      <c r="AR63" s="21"/>
      <c r="AS63" s="1">
        <v>0</v>
      </c>
      <c r="AT63" s="1"/>
      <c r="AU63" s="1">
        <v>0</v>
      </c>
      <c r="AV63" s="1"/>
      <c r="AW63" s="17">
        <f t="shared" si="16"/>
        <v>0</v>
      </c>
      <c r="AX63" s="1"/>
      <c r="AY63" s="68" t="s">
        <v>56</v>
      </c>
      <c r="AZ63" s="1"/>
      <c r="BA63" s="17"/>
      <c r="BB63" s="1"/>
      <c r="BC63" s="17"/>
      <c r="BD63" s="1"/>
      <c r="BE63" s="17"/>
      <c r="BF63" s="1"/>
      <c r="BG63" s="17"/>
      <c r="BH63" s="1"/>
      <c r="BI63" s="1"/>
      <c r="BJ63" s="1"/>
      <c r="BK63" s="17">
        <f t="shared" si="17"/>
        <v>0</v>
      </c>
      <c r="BL63" s="65"/>
    </row>
    <row r="64" spans="1:64" ht="12" customHeight="1">
      <c r="A64" s="63" t="s">
        <v>57</v>
      </c>
      <c r="B64" s="63"/>
      <c r="C64" s="17">
        <f t="shared" si="9"/>
        <v>1037243</v>
      </c>
      <c r="D64" s="17"/>
      <c r="E64" s="17">
        <v>6373058</v>
      </c>
      <c r="F64" s="17"/>
      <c r="G64" s="17">
        <v>7410301</v>
      </c>
      <c r="H64" s="17"/>
      <c r="I64" s="17">
        <f t="shared" si="10"/>
        <v>169760</v>
      </c>
      <c r="J64" s="17"/>
      <c r="K64" s="17">
        <f t="shared" si="11"/>
        <v>4990680</v>
      </c>
      <c r="L64" s="17"/>
      <c r="M64" s="17">
        <v>5160440</v>
      </c>
      <c r="N64" s="17"/>
      <c r="O64" s="17">
        <v>1433699</v>
      </c>
      <c r="P64" s="17"/>
      <c r="Q64" s="17">
        <v>0</v>
      </c>
      <c r="R64" s="17"/>
      <c r="S64" s="17">
        <v>816162</v>
      </c>
      <c r="T64" s="17"/>
      <c r="U64" s="17">
        <f t="shared" si="12"/>
        <v>2249861</v>
      </c>
      <c r="V64" s="17"/>
      <c r="W64" s="17">
        <f t="shared" si="13"/>
        <v>0</v>
      </c>
      <c r="X64" s="17"/>
      <c r="Y64" s="68" t="s">
        <v>57</v>
      </c>
      <c r="Z64" s="17"/>
      <c r="AA64" s="17">
        <v>1590212</v>
      </c>
      <c r="AB64" s="1"/>
      <c r="AC64" s="17">
        <f>1639079-192330</f>
        <v>1446749</v>
      </c>
      <c r="AD64" s="1"/>
      <c r="AE64" s="17">
        <v>192330</v>
      </c>
      <c r="AF64" s="1"/>
      <c r="AG64" s="17">
        <f t="shared" si="14"/>
        <v>-48867</v>
      </c>
      <c r="AH64" s="21"/>
      <c r="AI64" s="17">
        <v>-80827</v>
      </c>
      <c r="AJ64" s="21"/>
      <c r="AK64" s="17">
        <v>0</v>
      </c>
      <c r="AL64" s="1"/>
      <c r="AM64" s="17">
        <v>0</v>
      </c>
      <c r="AN64" s="1"/>
      <c r="AO64" s="17">
        <v>0</v>
      </c>
      <c r="AP64" s="1"/>
      <c r="AQ64" s="17">
        <f t="shared" si="15"/>
        <v>-129694</v>
      </c>
      <c r="AR64" s="21"/>
      <c r="AS64" s="1">
        <v>0</v>
      </c>
      <c r="AT64" s="1"/>
      <c r="AU64" s="1">
        <v>0</v>
      </c>
      <c r="AV64" s="1"/>
      <c r="AW64" s="17">
        <f t="shared" si="16"/>
        <v>867483</v>
      </c>
      <c r="AX64" s="1"/>
      <c r="AY64" s="68" t="s">
        <v>57</v>
      </c>
      <c r="AZ64" s="1"/>
      <c r="BA64" s="17">
        <f>193555+3103764</f>
        <v>3297319</v>
      </c>
      <c r="BB64" s="1"/>
      <c r="BC64" s="17">
        <v>0</v>
      </c>
      <c r="BD64" s="1"/>
      <c r="BE64" s="17">
        <f>29600+317200</f>
        <v>346800</v>
      </c>
      <c r="BF64" s="1"/>
      <c r="BG64" s="17">
        <f>1295240+26217+25104</f>
        <v>1346561</v>
      </c>
      <c r="BH64" s="1"/>
      <c r="BI64" s="1"/>
      <c r="BJ64" s="1"/>
      <c r="BK64" s="17">
        <f t="shared" si="17"/>
        <v>4990680</v>
      </c>
      <c r="BL64" s="70"/>
    </row>
    <row r="65" spans="1:64" ht="12" customHeight="1" hidden="1">
      <c r="A65" s="63" t="s">
        <v>58</v>
      </c>
      <c r="B65" s="63"/>
      <c r="C65" s="17">
        <f t="shared" si="9"/>
        <v>0</v>
      </c>
      <c r="D65" s="17"/>
      <c r="E65" s="17"/>
      <c r="F65" s="17"/>
      <c r="G65" s="17"/>
      <c r="H65" s="17"/>
      <c r="I65" s="17">
        <f t="shared" si="10"/>
        <v>0</v>
      </c>
      <c r="J65" s="17"/>
      <c r="K65" s="17">
        <f t="shared" si="11"/>
        <v>0</v>
      </c>
      <c r="L65" s="17"/>
      <c r="M65" s="17"/>
      <c r="N65" s="17"/>
      <c r="O65" s="17"/>
      <c r="P65" s="17"/>
      <c r="Q65" s="17"/>
      <c r="R65" s="17"/>
      <c r="S65" s="17"/>
      <c r="T65" s="17"/>
      <c r="U65" s="17">
        <f t="shared" si="12"/>
        <v>0</v>
      </c>
      <c r="V65" s="17"/>
      <c r="W65" s="17">
        <f t="shared" si="13"/>
        <v>0</v>
      </c>
      <c r="X65" s="17"/>
      <c r="Y65" s="68" t="s">
        <v>58</v>
      </c>
      <c r="Z65" s="17"/>
      <c r="AA65" s="17"/>
      <c r="AB65" s="1"/>
      <c r="AC65" s="17"/>
      <c r="AD65" s="1"/>
      <c r="AE65" s="17"/>
      <c r="AF65" s="1"/>
      <c r="AG65" s="17">
        <f t="shared" si="14"/>
        <v>0</v>
      </c>
      <c r="AH65" s="21"/>
      <c r="AI65" s="17"/>
      <c r="AJ65" s="21"/>
      <c r="AK65" s="17"/>
      <c r="AL65" s="1"/>
      <c r="AM65" s="17"/>
      <c r="AN65" s="1"/>
      <c r="AO65" s="17"/>
      <c r="AP65" s="1"/>
      <c r="AQ65" s="17">
        <f t="shared" si="15"/>
        <v>0</v>
      </c>
      <c r="AR65" s="21"/>
      <c r="AS65" s="1">
        <v>0</v>
      </c>
      <c r="AT65" s="1"/>
      <c r="AU65" s="1">
        <v>0</v>
      </c>
      <c r="AV65" s="1"/>
      <c r="AW65" s="17">
        <f t="shared" si="16"/>
        <v>0</v>
      </c>
      <c r="AX65" s="1"/>
      <c r="AY65" s="68" t="s">
        <v>58</v>
      </c>
      <c r="AZ65" s="1"/>
      <c r="BA65" s="17"/>
      <c r="BB65" s="1"/>
      <c r="BC65" s="17"/>
      <c r="BD65" s="1"/>
      <c r="BE65" s="17"/>
      <c r="BF65" s="1"/>
      <c r="BG65" s="17"/>
      <c r="BH65" s="1"/>
      <c r="BI65" s="1"/>
      <c r="BJ65" s="1"/>
      <c r="BK65" s="17">
        <f t="shared" si="17"/>
        <v>0</v>
      </c>
      <c r="BL65" s="65"/>
    </row>
    <row r="66" spans="1:64" ht="12" customHeight="1">
      <c r="A66" s="63" t="s">
        <v>59</v>
      </c>
      <c r="B66" s="63"/>
      <c r="C66" s="17">
        <f t="shared" si="9"/>
        <v>48799584</v>
      </c>
      <c r="D66" s="17"/>
      <c r="E66" s="17">
        <v>217465839</v>
      </c>
      <c r="F66" s="17"/>
      <c r="G66" s="17">
        <v>266265423</v>
      </c>
      <c r="H66" s="17"/>
      <c r="I66" s="17">
        <f t="shared" si="10"/>
        <v>14352691</v>
      </c>
      <c r="J66" s="17"/>
      <c r="K66" s="17">
        <f t="shared" si="11"/>
        <v>80196508</v>
      </c>
      <c r="L66" s="17"/>
      <c r="M66" s="17">
        <v>94549199</v>
      </c>
      <c r="N66" s="17"/>
      <c r="O66" s="17">
        <v>132565492</v>
      </c>
      <c r="P66" s="17"/>
      <c r="Q66" s="17">
        <f>17092820+1082661</f>
        <v>18175481</v>
      </c>
      <c r="R66" s="17"/>
      <c r="S66" s="17">
        <v>20975251</v>
      </c>
      <c r="T66" s="17"/>
      <c r="U66" s="17">
        <f t="shared" si="12"/>
        <v>171716224</v>
      </c>
      <c r="V66" s="17"/>
      <c r="W66" s="17">
        <f t="shared" si="13"/>
        <v>0</v>
      </c>
      <c r="X66" s="17"/>
      <c r="Y66" s="68" t="s">
        <v>59</v>
      </c>
      <c r="Z66" s="17"/>
      <c r="AA66" s="17">
        <v>41872499</v>
      </c>
      <c r="AB66" s="1"/>
      <c r="AC66" s="17">
        <f>41197326-9695843</f>
        <v>31501483</v>
      </c>
      <c r="AD66" s="1"/>
      <c r="AE66" s="17">
        <v>9695843</v>
      </c>
      <c r="AF66" s="1"/>
      <c r="AG66" s="17">
        <f t="shared" si="14"/>
        <v>675173</v>
      </c>
      <c r="AH66" s="21"/>
      <c r="AI66" s="17">
        <v>-2493749</v>
      </c>
      <c r="AJ66" s="21"/>
      <c r="AK66" s="17">
        <v>0</v>
      </c>
      <c r="AL66" s="1"/>
      <c r="AM66" s="17">
        <v>38612</v>
      </c>
      <c r="AN66" s="1"/>
      <c r="AO66" s="17">
        <v>1982115</v>
      </c>
      <c r="AP66" s="1"/>
      <c r="AQ66" s="17">
        <f t="shared" si="15"/>
        <v>124927</v>
      </c>
      <c r="AR66" s="21"/>
      <c r="AS66" s="1">
        <v>0</v>
      </c>
      <c r="AT66" s="1"/>
      <c r="AU66" s="1">
        <v>0</v>
      </c>
      <c r="AV66" s="1"/>
      <c r="AW66" s="17">
        <f t="shared" si="16"/>
        <v>34446893</v>
      </c>
      <c r="AX66" s="1"/>
      <c r="AY66" s="68" t="s">
        <v>59</v>
      </c>
      <c r="AZ66" s="1"/>
      <c r="BA66" s="17">
        <f>17968625-317171</f>
        <v>17651454</v>
      </c>
      <c r="BB66" s="1"/>
      <c r="BC66" s="17">
        <f>7055000-980938</f>
        <v>6074062</v>
      </c>
      <c r="BD66" s="1"/>
      <c r="BE66" s="17">
        <v>56032855</v>
      </c>
      <c r="BF66" s="1"/>
      <c r="BG66" s="17">
        <v>438137</v>
      </c>
      <c r="BH66" s="1"/>
      <c r="BI66" s="1"/>
      <c r="BJ66" s="1"/>
      <c r="BK66" s="17">
        <f t="shared" si="17"/>
        <v>80196508</v>
      </c>
      <c r="BL66" s="70"/>
    </row>
    <row r="67" spans="1:64" ht="12" customHeight="1" hidden="1">
      <c r="A67" s="63" t="s">
        <v>60</v>
      </c>
      <c r="B67" s="63"/>
      <c r="C67" s="17">
        <f t="shared" si="9"/>
        <v>0</v>
      </c>
      <c r="D67" s="17"/>
      <c r="E67" s="17"/>
      <c r="F67" s="17"/>
      <c r="G67" s="17"/>
      <c r="H67" s="17"/>
      <c r="I67" s="17">
        <f t="shared" si="10"/>
        <v>0</v>
      </c>
      <c r="J67" s="17"/>
      <c r="K67" s="17">
        <f t="shared" si="11"/>
        <v>0</v>
      </c>
      <c r="L67" s="17"/>
      <c r="M67" s="17"/>
      <c r="N67" s="17"/>
      <c r="O67" s="17"/>
      <c r="P67" s="17"/>
      <c r="Q67" s="17"/>
      <c r="R67" s="17"/>
      <c r="S67" s="17"/>
      <c r="T67" s="17"/>
      <c r="U67" s="17">
        <f t="shared" si="12"/>
        <v>0</v>
      </c>
      <c r="V67" s="17"/>
      <c r="W67" s="17">
        <f t="shared" si="13"/>
        <v>0</v>
      </c>
      <c r="X67" s="17"/>
      <c r="Y67" s="68" t="s">
        <v>60</v>
      </c>
      <c r="Z67" s="17"/>
      <c r="AA67" s="17"/>
      <c r="AB67" s="1"/>
      <c r="AC67" s="17"/>
      <c r="AD67" s="1"/>
      <c r="AE67" s="17"/>
      <c r="AF67" s="1"/>
      <c r="AG67" s="17">
        <f t="shared" si="14"/>
        <v>0</v>
      </c>
      <c r="AH67" s="21"/>
      <c r="AI67" s="17"/>
      <c r="AJ67" s="21"/>
      <c r="AK67" s="17"/>
      <c r="AL67" s="1"/>
      <c r="AM67" s="17"/>
      <c r="AN67" s="1"/>
      <c r="AO67" s="17"/>
      <c r="AP67" s="1"/>
      <c r="AQ67" s="17">
        <f t="shared" si="15"/>
        <v>0</v>
      </c>
      <c r="AR67" s="21"/>
      <c r="AS67" s="1">
        <v>0</v>
      </c>
      <c r="AT67" s="1"/>
      <c r="AU67" s="1">
        <v>0</v>
      </c>
      <c r="AV67" s="1"/>
      <c r="AW67" s="17">
        <f t="shared" si="16"/>
        <v>0</v>
      </c>
      <c r="AX67" s="17"/>
      <c r="AY67" s="68" t="s">
        <v>60</v>
      </c>
      <c r="AZ67" s="17"/>
      <c r="BA67" s="17"/>
      <c r="BB67" s="1"/>
      <c r="BC67" s="17"/>
      <c r="BD67" s="1"/>
      <c r="BE67" s="17"/>
      <c r="BF67" s="1"/>
      <c r="BG67" s="17"/>
      <c r="BH67" s="1"/>
      <c r="BI67" s="1"/>
      <c r="BJ67" s="1"/>
      <c r="BK67" s="17">
        <f t="shared" si="17"/>
        <v>0</v>
      </c>
      <c r="BL67" s="65"/>
    </row>
    <row r="68" spans="1:64" ht="12" customHeight="1" hidden="1">
      <c r="A68" s="63" t="s">
        <v>97</v>
      </c>
      <c r="B68" s="63"/>
      <c r="C68" s="17">
        <f t="shared" si="9"/>
        <v>0</v>
      </c>
      <c r="D68" s="17"/>
      <c r="E68" s="17">
        <v>0</v>
      </c>
      <c r="F68" s="17"/>
      <c r="G68" s="17">
        <v>0</v>
      </c>
      <c r="H68" s="17"/>
      <c r="I68" s="17">
        <f t="shared" si="10"/>
        <v>0</v>
      </c>
      <c r="J68" s="17"/>
      <c r="K68" s="17">
        <f t="shared" si="11"/>
        <v>0</v>
      </c>
      <c r="L68" s="17"/>
      <c r="M68" s="17">
        <v>0</v>
      </c>
      <c r="N68" s="17"/>
      <c r="O68" s="17">
        <v>0</v>
      </c>
      <c r="P68" s="17"/>
      <c r="Q68" s="17">
        <v>0</v>
      </c>
      <c r="R68" s="17"/>
      <c r="S68" s="17">
        <v>0</v>
      </c>
      <c r="T68" s="17"/>
      <c r="U68" s="17">
        <f t="shared" si="12"/>
        <v>0</v>
      </c>
      <c r="V68" s="17"/>
      <c r="W68" s="17">
        <f t="shared" si="13"/>
        <v>0</v>
      </c>
      <c r="X68" s="17"/>
      <c r="Y68" s="68" t="s">
        <v>97</v>
      </c>
      <c r="Z68" s="17"/>
      <c r="AA68" s="17">
        <v>0</v>
      </c>
      <c r="AB68" s="1"/>
      <c r="AC68" s="17">
        <v>0</v>
      </c>
      <c r="AD68" s="1"/>
      <c r="AE68" s="17">
        <v>0</v>
      </c>
      <c r="AF68" s="1"/>
      <c r="AG68" s="17">
        <f t="shared" si="14"/>
        <v>0</v>
      </c>
      <c r="AH68" s="21"/>
      <c r="AI68" s="17">
        <v>0</v>
      </c>
      <c r="AJ68" s="21"/>
      <c r="AK68" s="17">
        <v>0</v>
      </c>
      <c r="AL68" s="1"/>
      <c r="AM68" s="17">
        <v>0</v>
      </c>
      <c r="AN68" s="1"/>
      <c r="AO68" s="17">
        <v>0</v>
      </c>
      <c r="AP68" s="1"/>
      <c r="AQ68" s="17">
        <f t="shared" si="15"/>
        <v>0</v>
      </c>
      <c r="AR68" s="21"/>
      <c r="AS68" s="1">
        <v>0</v>
      </c>
      <c r="AT68" s="1"/>
      <c r="AU68" s="1">
        <v>0</v>
      </c>
      <c r="AV68" s="1"/>
      <c r="AW68" s="17">
        <f t="shared" si="16"/>
        <v>0</v>
      </c>
      <c r="AX68" s="1"/>
      <c r="AY68" s="68" t="s">
        <v>97</v>
      </c>
      <c r="AZ68" s="1"/>
      <c r="BA68" s="17">
        <v>0</v>
      </c>
      <c r="BB68" s="1"/>
      <c r="BC68" s="17">
        <v>0</v>
      </c>
      <c r="BD68" s="1"/>
      <c r="BE68" s="17">
        <v>0</v>
      </c>
      <c r="BF68" s="1"/>
      <c r="BG68" s="17">
        <v>0</v>
      </c>
      <c r="BH68" s="1"/>
      <c r="BI68" s="1"/>
      <c r="BJ68" s="1"/>
      <c r="BK68" s="17">
        <f t="shared" si="17"/>
        <v>0</v>
      </c>
      <c r="BL68" s="1"/>
    </row>
    <row r="69" spans="1:64" ht="12" customHeight="1">
      <c r="A69" s="63" t="s">
        <v>61</v>
      </c>
      <c r="B69" s="63"/>
      <c r="C69" s="17">
        <f t="shared" si="9"/>
        <v>9827951</v>
      </c>
      <c r="D69" s="17"/>
      <c r="E69" s="17">
        <v>34654330</v>
      </c>
      <c r="F69" s="17"/>
      <c r="G69" s="17">
        <v>44482281</v>
      </c>
      <c r="H69" s="17"/>
      <c r="I69" s="17">
        <f t="shared" si="10"/>
        <v>6311121</v>
      </c>
      <c r="J69" s="17"/>
      <c r="K69" s="17">
        <f t="shared" si="11"/>
        <v>12401257</v>
      </c>
      <c r="L69" s="17"/>
      <c r="M69" s="17">
        <v>18712378</v>
      </c>
      <c r="N69" s="17"/>
      <c r="O69" s="17">
        <v>20211136</v>
      </c>
      <c r="P69" s="17"/>
      <c r="Q69" s="17">
        <v>0</v>
      </c>
      <c r="R69" s="17"/>
      <c r="S69" s="17">
        <v>5558767</v>
      </c>
      <c r="T69" s="17"/>
      <c r="U69" s="17">
        <f t="shared" si="12"/>
        <v>25769903</v>
      </c>
      <c r="V69" s="17"/>
      <c r="W69" s="17">
        <f t="shared" si="13"/>
        <v>0</v>
      </c>
      <c r="X69" s="17"/>
      <c r="Y69" s="68" t="s">
        <v>61</v>
      </c>
      <c r="Z69" s="17"/>
      <c r="AA69" s="17">
        <v>2150722</v>
      </c>
      <c r="AB69" s="1"/>
      <c r="AC69" s="17">
        <f>2485259-805021</f>
        <v>1680238</v>
      </c>
      <c r="AD69" s="1"/>
      <c r="AE69" s="17">
        <v>805021</v>
      </c>
      <c r="AF69" s="1"/>
      <c r="AG69" s="17">
        <f t="shared" si="14"/>
        <v>-334537</v>
      </c>
      <c r="AH69" s="21"/>
      <c r="AI69" s="17">
        <v>-706018</v>
      </c>
      <c r="AJ69" s="21"/>
      <c r="AK69" s="17">
        <v>0</v>
      </c>
      <c r="AL69" s="1"/>
      <c r="AM69" s="17">
        <v>44824</v>
      </c>
      <c r="AN69" s="1"/>
      <c r="AO69" s="17">
        <f>312096+1913969</f>
        <v>2226065</v>
      </c>
      <c r="AP69" s="1"/>
      <c r="AQ69" s="17">
        <f t="shared" si="15"/>
        <v>1140686</v>
      </c>
      <c r="AR69" s="21"/>
      <c r="AS69" s="1">
        <v>0</v>
      </c>
      <c r="AT69" s="1"/>
      <c r="AU69" s="1">
        <v>0</v>
      </c>
      <c r="AV69" s="1"/>
      <c r="AW69" s="17">
        <f t="shared" si="16"/>
        <v>3516830</v>
      </c>
      <c r="AX69" s="1"/>
      <c r="AY69" s="68" t="s">
        <v>61</v>
      </c>
      <c r="AZ69" s="1"/>
      <c r="BA69" s="17">
        <v>11638359</v>
      </c>
      <c r="BB69" s="1"/>
      <c r="BC69" s="17">
        <v>530500</v>
      </c>
      <c r="BD69" s="1"/>
      <c r="BE69" s="17">
        <v>217331</v>
      </c>
      <c r="BF69" s="1"/>
      <c r="BG69" s="17">
        <v>15067</v>
      </c>
      <c r="BH69" s="1"/>
      <c r="BI69" s="1"/>
      <c r="BJ69" s="1"/>
      <c r="BK69" s="17">
        <f t="shared" si="17"/>
        <v>12401257</v>
      </c>
      <c r="BL69" s="65"/>
    </row>
    <row r="70" spans="1:64" ht="12" customHeight="1">
      <c r="A70" s="63" t="s">
        <v>63</v>
      </c>
      <c r="B70" s="63"/>
      <c r="C70" s="17">
        <f t="shared" si="9"/>
        <v>9258930</v>
      </c>
      <c r="D70" s="17"/>
      <c r="E70" s="17">
        <f>29885533+33131168</f>
        <v>63016701</v>
      </c>
      <c r="F70" s="17"/>
      <c r="G70" s="17">
        <f>35556679+36718952</f>
        <v>72275631</v>
      </c>
      <c r="H70" s="17"/>
      <c r="I70" s="17">
        <f t="shared" si="10"/>
        <v>1672704</v>
      </c>
      <c r="J70" s="17"/>
      <c r="K70" s="17">
        <f t="shared" si="11"/>
        <v>17630784</v>
      </c>
      <c r="L70" s="17"/>
      <c r="M70" s="17">
        <f>10448686+8854802</f>
        <v>19303488</v>
      </c>
      <c r="N70" s="17"/>
      <c r="O70" s="17">
        <f>19702267+24240120</f>
        <v>43942387</v>
      </c>
      <c r="P70" s="17"/>
      <c r="Q70" s="17">
        <f>620587+1313632+1318600+583254+212920+190988</f>
        <v>4239981</v>
      </c>
      <c r="R70" s="17"/>
      <c r="S70" s="17">
        <f>2152907+2636868</f>
        <v>4789775</v>
      </c>
      <c r="T70" s="17"/>
      <c r="U70" s="17">
        <f t="shared" si="12"/>
        <v>52972143</v>
      </c>
      <c r="V70" s="17"/>
      <c r="W70" s="17">
        <f t="shared" si="13"/>
        <v>0</v>
      </c>
      <c r="X70" s="17"/>
      <c r="Y70" s="68" t="s">
        <v>63</v>
      </c>
      <c r="Z70" s="17"/>
      <c r="AA70" s="17">
        <f>2418259+2540126</f>
        <v>4958385</v>
      </c>
      <c r="AB70" s="1"/>
      <c r="AC70" s="17">
        <f>2263083-1015467+2543676-1259309</f>
        <v>2531983</v>
      </c>
      <c r="AD70" s="1"/>
      <c r="AE70" s="17">
        <f>1015467+1259309</f>
        <v>2274776</v>
      </c>
      <c r="AF70" s="1"/>
      <c r="AG70" s="17">
        <f t="shared" si="14"/>
        <v>151626</v>
      </c>
      <c r="AH70" s="21"/>
      <c r="AI70" s="17">
        <f>202030-115748</f>
        <v>86282</v>
      </c>
      <c r="AJ70" s="21"/>
      <c r="AK70" s="17">
        <f>321832+103568</f>
        <v>425400</v>
      </c>
      <c r="AL70" s="1"/>
      <c r="AM70" s="17">
        <v>0</v>
      </c>
      <c r="AN70" s="1"/>
      <c r="AO70" s="17">
        <f>845545+856008</f>
        <v>1701553</v>
      </c>
      <c r="AP70" s="1"/>
      <c r="AQ70" s="17">
        <f t="shared" si="15"/>
        <v>2364861</v>
      </c>
      <c r="AR70" s="21"/>
      <c r="AS70" s="1">
        <v>0</v>
      </c>
      <c r="AT70" s="1"/>
      <c r="AU70" s="1">
        <v>0</v>
      </c>
      <c r="AV70" s="1"/>
      <c r="AW70" s="17">
        <f t="shared" si="16"/>
        <v>7586226</v>
      </c>
      <c r="AX70" s="1"/>
      <c r="AY70" s="68" t="s">
        <v>63</v>
      </c>
      <c r="AZ70" s="1"/>
      <c r="BA70" s="17">
        <v>766000</v>
      </c>
      <c r="BB70" s="1"/>
      <c r="BC70" s="17">
        <f>3931173+6971294</f>
        <v>10902467</v>
      </c>
      <c r="BD70" s="1"/>
      <c r="BE70" s="17">
        <f>5163310+393310+87862+243691+38209</f>
        <v>5926382</v>
      </c>
      <c r="BF70" s="1"/>
      <c r="BG70" s="17">
        <f>17706+18229</f>
        <v>35935</v>
      </c>
      <c r="BH70" s="1"/>
      <c r="BI70" s="1"/>
      <c r="BJ70" s="1"/>
      <c r="BK70" s="17">
        <f t="shared" si="17"/>
        <v>17630784</v>
      </c>
      <c r="BL70" s="65"/>
    </row>
    <row r="71" spans="1:64" ht="12" customHeight="1" hidden="1">
      <c r="A71" s="63" t="s">
        <v>132</v>
      </c>
      <c r="B71" s="63"/>
      <c r="C71" s="17">
        <f t="shared" si="9"/>
        <v>0</v>
      </c>
      <c r="D71" s="17"/>
      <c r="E71" s="17"/>
      <c r="F71" s="17"/>
      <c r="G71" s="17"/>
      <c r="H71" s="17"/>
      <c r="I71" s="17">
        <f t="shared" si="10"/>
        <v>0</v>
      </c>
      <c r="J71" s="17"/>
      <c r="K71" s="17">
        <f t="shared" si="11"/>
        <v>0</v>
      </c>
      <c r="L71" s="17"/>
      <c r="M71" s="17"/>
      <c r="N71" s="17"/>
      <c r="O71" s="17"/>
      <c r="P71" s="17"/>
      <c r="Q71" s="17"/>
      <c r="R71" s="17"/>
      <c r="S71" s="17"/>
      <c r="T71" s="17"/>
      <c r="U71" s="17">
        <f t="shared" si="12"/>
        <v>0</v>
      </c>
      <c r="V71" s="17"/>
      <c r="W71" s="17">
        <f t="shared" si="13"/>
        <v>0</v>
      </c>
      <c r="X71" s="17"/>
      <c r="Y71" s="68" t="s">
        <v>132</v>
      </c>
      <c r="Z71" s="17"/>
      <c r="AA71" s="17"/>
      <c r="AB71" s="1"/>
      <c r="AC71" s="17"/>
      <c r="AD71" s="1"/>
      <c r="AE71" s="17"/>
      <c r="AF71" s="1"/>
      <c r="AG71" s="17">
        <f t="shared" si="14"/>
        <v>0</v>
      </c>
      <c r="AH71" s="21"/>
      <c r="AI71" s="17"/>
      <c r="AJ71" s="21"/>
      <c r="AK71" s="17"/>
      <c r="AL71" s="1"/>
      <c r="AM71" s="17"/>
      <c r="AN71" s="1"/>
      <c r="AO71" s="17"/>
      <c r="AP71" s="1"/>
      <c r="AQ71" s="17">
        <f t="shared" si="15"/>
        <v>0</v>
      </c>
      <c r="AR71" s="21"/>
      <c r="AS71" s="1">
        <v>0</v>
      </c>
      <c r="AT71" s="1"/>
      <c r="AU71" s="1">
        <v>0</v>
      </c>
      <c r="AV71" s="1"/>
      <c r="AW71" s="17">
        <f t="shared" si="16"/>
        <v>0</v>
      </c>
      <c r="AX71" s="17"/>
      <c r="AY71" s="68" t="s">
        <v>132</v>
      </c>
      <c r="AZ71" s="17"/>
      <c r="BA71" s="17"/>
      <c r="BB71" s="1"/>
      <c r="BC71" s="17"/>
      <c r="BD71" s="1"/>
      <c r="BE71" s="17"/>
      <c r="BF71" s="1"/>
      <c r="BG71" s="17"/>
      <c r="BH71" s="1"/>
      <c r="BI71" s="1"/>
      <c r="BJ71" s="1"/>
      <c r="BK71" s="17">
        <f t="shared" si="17"/>
        <v>0</v>
      </c>
      <c r="BL71" s="65"/>
    </row>
    <row r="72" spans="1:64" ht="12" customHeight="1" hidden="1">
      <c r="A72" s="63" t="s">
        <v>64</v>
      </c>
      <c r="B72" s="63"/>
      <c r="C72" s="17">
        <f t="shared" si="9"/>
        <v>0</v>
      </c>
      <c r="D72" s="17"/>
      <c r="E72" s="17"/>
      <c r="F72" s="17"/>
      <c r="G72" s="17"/>
      <c r="H72" s="17"/>
      <c r="I72" s="17">
        <f t="shared" si="10"/>
        <v>0</v>
      </c>
      <c r="J72" s="17"/>
      <c r="K72" s="17">
        <f t="shared" si="11"/>
        <v>0</v>
      </c>
      <c r="L72" s="17"/>
      <c r="M72" s="17"/>
      <c r="N72" s="17"/>
      <c r="O72" s="17"/>
      <c r="P72" s="17"/>
      <c r="Q72" s="17"/>
      <c r="R72" s="17"/>
      <c r="S72" s="17"/>
      <c r="T72" s="17"/>
      <c r="U72" s="17">
        <f t="shared" si="12"/>
        <v>0</v>
      </c>
      <c r="V72" s="17"/>
      <c r="W72" s="17">
        <f t="shared" si="13"/>
        <v>0</v>
      </c>
      <c r="X72" s="17"/>
      <c r="Y72" s="68" t="s">
        <v>64</v>
      </c>
      <c r="Z72" s="17"/>
      <c r="AA72" s="17"/>
      <c r="AB72" s="1"/>
      <c r="AC72" s="17"/>
      <c r="AD72" s="1"/>
      <c r="AE72" s="17"/>
      <c r="AF72" s="1"/>
      <c r="AG72" s="17">
        <f t="shared" si="14"/>
        <v>0</v>
      </c>
      <c r="AH72" s="21"/>
      <c r="AI72" s="17"/>
      <c r="AJ72" s="21"/>
      <c r="AK72" s="17"/>
      <c r="AL72" s="1"/>
      <c r="AM72" s="17"/>
      <c r="AN72" s="1"/>
      <c r="AO72" s="17"/>
      <c r="AP72" s="1"/>
      <c r="AQ72" s="17">
        <f t="shared" si="15"/>
        <v>0</v>
      </c>
      <c r="AR72" s="21"/>
      <c r="AS72" s="1">
        <v>0</v>
      </c>
      <c r="AT72" s="1"/>
      <c r="AU72" s="1">
        <v>0</v>
      </c>
      <c r="AV72" s="1"/>
      <c r="AW72" s="17">
        <f t="shared" si="16"/>
        <v>0</v>
      </c>
      <c r="AX72" s="17"/>
      <c r="AY72" s="68" t="s">
        <v>64</v>
      </c>
      <c r="AZ72" s="17"/>
      <c r="BA72" s="17"/>
      <c r="BB72" s="1"/>
      <c r="BC72" s="17"/>
      <c r="BD72" s="1"/>
      <c r="BE72" s="17"/>
      <c r="BF72" s="1"/>
      <c r="BG72" s="17"/>
      <c r="BH72" s="1"/>
      <c r="BI72" s="1"/>
      <c r="BJ72" s="1"/>
      <c r="BK72" s="17">
        <f t="shared" si="17"/>
        <v>0</v>
      </c>
      <c r="BL72" s="65"/>
    </row>
    <row r="73" spans="1:64" ht="12" customHeight="1">
      <c r="A73" s="63" t="s">
        <v>65</v>
      </c>
      <c r="B73" s="63"/>
      <c r="C73" s="17">
        <f t="shared" si="9"/>
        <v>210716</v>
      </c>
      <c r="D73" s="17"/>
      <c r="E73" s="17">
        <v>2425130</v>
      </c>
      <c r="F73" s="17"/>
      <c r="G73" s="17">
        <v>2635846</v>
      </c>
      <c r="H73" s="17"/>
      <c r="I73" s="17">
        <f t="shared" si="10"/>
        <v>1837271</v>
      </c>
      <c r="J73" s="17"/>
      <c r="K73" s="17">
        <f t="shared" si="11"/>
        <v>101626</v>
      </c>
      <c r="L73" s="17"/>
      <c r="M73" s="17">
        <v>1938897</v>
      </c>
      <c r="N73" s="17"/>
      <c r="O73" s="17">
        <v>134240</v>
      </c>
      <c r="P73" s="17"/>
      <c r="Q73" s="17">
        <v>0</v>
      </c>
      <c r="R73" s="17"/>
      <c r="S73" s="17">
        <v>173623</v>
      </c>
      <c r="T73" s="17"/>
      <c r="U73" s="17">
        <f t="shared" si="12"/>
        <v>307863</v>
      </c>
      <c r="V73" s="17"/>
      <c r="W73" s="17">
        <f t="shared" si="13"/>
        <v>389086</v>
      </c>
      <c r="X73" s="17"/>
      <c r="Y73" s="68" t="s">
        <v>65</v>
      </c>
      <c r="Z73" s="17"/>
      <c r="AA73" s="17">
        <v>282461</v>
      </c>
      <c r="AB73" s="1"/>
      <c r="AC73" s="17">
        <f>220362-5286</f>
        <v>215076</v>
      </c>
      <c r="AD73" s="1"/>
      <c r="AE73" s="17">
        <v>5286</v>
      </c>
      <c r="AF73" s="1"/>
      <c r="AG73" s="17">
        <f t="shared" si="14"/>
        <v>62099</v>
      </c>
      <c r="AH73" s="21"/>
      <c r="AI73" s="17">
        <v>0</v>
      </c>
      <c r="AJ73" s="21"/>
      <c r="AK73" s="17">
        <v>0</v>
      </c>
      <c r="AL73" s="1"/>
      <c r="AM73" s="17">
        <v>0</v>
      </c>
      <c r="AN73" s="1"/>
      <c r="AO73" s="17">
        <v>0</v>
      </c>
      <c r="AP73" s="1"/>
      <c r="AQ73" s="17">
        <f t="shared" si="15"/>
        <v>62099</v>
      </c>
      <c r="AR73" s="21"/>
      <c r="AS73" s="1">
        <v>0</v>
      </c>
      <c r="AT73" s="1"/>
      <c r="AU73" s="1">
        <v>0</v>
      </c>
      <c r="AV73" s="1"/>
      <c r="AW73" s="17">
        <f t="shared" si="16"/>
        <v>-1626555</v>
      </c>
      <c r="AX73" s="1"/>
      <c r="AY73" s="68" t="s">
        <v>65</v>
      </c>
      <c r="AZ73" s="1"/>
      <c r="BA73" s="17">
        <v>0</v>
      </c>
      <c r="BB73" s="1"/>
      <c r="BC73" s="17">
        <v>0</v>
      </c>
      <c r="BD73" s="1"/>
      <c r="BE73" s="17">
        <v>101626</v>
      </c>
      <c r="BF73" s="1"/>
      <c r="BG73" s="17">
        <v>0</v>
      </c>
      <c r="BH73" s="1"/>
      <c r="BI73" s="1"/>
      <c r="BJ73" s="1"/>
      <c r="BK73" s="17">
        <f t="shared" si="17"/>
        <v>101626</v>
      </c>
      <c r="BL73" s="65"/>
    </row>
    <row r="74" spans="1:64" ht="12" customHeight="1">
      <c r="A74" s="63" t="s">
        <v>66</v>
      </c>
      <c r="B74" s="63"/>
      <c r="C74" s="17">
        <f t="shared" si="9"/>
        <v>540989</v>
      </c>
      <c r="D74" s="17"/>
      <c r="E74" s="17">
        <v>1775105</v>
      </c>
      <c r="F74" s="17"/>
      <c r="G74" s="17">
        <v>2316094</v>
      </c>
      <c r="H74" s="17"/>
      <c r="I74" s="17">
        <f t="shared" si="10"/>
        <v>62798</v>
      </c>
      <c r="J74" s="17"/>
      <c r="K74" s="17">
        <f t="shared" si="11"/>
        <v>21645</v>
      </c>
      <c r="L74" s="17"/>
      <c r="M74" s="17">
        <v>84443</v>
      </c>
      <c r="N74" s="17"/>
      <c r="O74" s="17">
        <v>0</v>
      </c>
      <c r="P74" s="17"/>
      <c r="Q74" s="17">
        <v>0</v>
      </c>
      <c r="R74" s="17"/>
      <c r="S74" s="17">
        <v>2231651</v>
      </c>
      <c r="T74" s="17"/>
      <c r="U74" s="17">
        <f t="shared" si="12"/>
        <v>2231651</v>
      </c>
      <c r="V74" s="17"/>
      <c r="W74" s="17">
        <f t="shared" si="13"/>
        <v>0</v>
      </c>
      <c r="X74" s="17"/>
      <c r="Y74" s="68" t="s">
        <v>66</v>
      </c>
      <c r="Z74" s="17"/>
      <c r="AA74" s="17">
        <v>303159</v>
      </c>
      <c r="AB74" s="1"/>
      <c r="AC74" s="17">
        <f>354564-0</f>
        <v>354564</v>
      </c>
      <c r="AD74" s="1"/>
      <c r="AE74" s="17">
        <v>0</v>
      </c>
      <c r="AF74" s="1"/>
      <c r="AG74" s="17">
        <f t="shared" si="14"/>
        <v>-51405</v>
      </c>
      <c r="AH74" s="21"/>
      <c r="AI74" s="17">
        <v>128319</v>
      </c>
      <c r="AJ74" s="21"/>
      <c r="AK74" s="17">
        <v>0</v>
      </c>
      <c r="AL74" s="1"/>
      <c r="AM74" s="17">
        <v>0</v>
      </c>
      <c r="AN74" s="1"/>
      <c r="AO74" s="17">
        <v>0</v>
      </c>
      <c r="AP74" s="1"/>
      <c r="AQ74" s="17">
        <f t="shared" si="15"/>
        <v>76914</v>
      </c>
      <c r="AR74" s="21"/>
      <c r="AS74" s="1">
        <v>0</v>
      </c>
      <c r="AT74" s="1"/>
      <c r="AU74" s="1">
        <v>0</v>
      </c>
      <c r="AV74" s="1"/>
      <c r="AW74" s="17">
        <f t="shared" si="16"/>
        <v>478191</v>
      </c>
      <c r="AX74" s="1"/>
      <c r="AY74" s="68" t="s">
        <v>66</v>
      </c>
      <c r="AZ74" s="1"/>
      <c r="BA74" s="17">
        <v>0</v>
      </c>
      <c r="BB74" s="1"/>
      <c r="BC74" s="17">
        <v>0</v>
      </c>
      <c r="BD74" s="1"/>
      <c r="BE74" s="17">
        <v>0</v>
      </c>
      <c r="BF74" s="1"/>
      <c r="BG74" s="17">
        <v>21645</v>
      </c>
      <c r="BH74" s="1"/>
      <c r="BI74" s="1"/>
      <c r="BJ74" s="1"/>
      <c r="BK74" s="17">
        <f t="shared" si="17"/>
        <v>21645</v>
      </c>
      <c r="BL74" s="65"/>
    </row>
    <row r="75" spans="1:64" ht="12" customHeight="1">
      <c r="A75" s="63" t="s">
        <v>67</v>
      </c>
      <c r="B75" s="63"/>
      <c r="C75" s="17">
        <f>+G75-E75</f>
        <v>16156130</v>
      </c>
      <c r="D75" s="17"/>
      <c r="E75" s="17">
        <f>49425190+24643898</f>
        <v>74069088</v>
      </c>
      <c r="F75" s="17"/>
      <c r="G75" s="17">
        <f>59276247+30948971</f>
        <v>90225218</v>
      </c>
      <c r="H75" s="17"/>
      <c r="I75" s="17">
        <f>M75-K75</f>
        <v>10564495</v>
      </c>
      <c r="J75" s="17"/>
      <c r="K75" s="17">
        <f>SUM(BK75)</f>
        <v>22019281</v>
      </c>
      <c r="L75" s="17"/>
      <c r="M75" s="17">
        <f>23172533+9411243</f>
        <v>32583776</v>
      </c>
      <c r="N75" s="17"/>
      <c r="O75" s="17">
        <f>26135918+12998783</f>
        <v>39134701</v>
      </c>
      <c r="P75" s="17"/>
      <c r="Q75" s="17">
        <f>61978+2412526</f>
        <v>2474504</v>
      </c>
      <c r="R75" s="17"/>
      <c r="S75" s="17">
        <f>9905818+6126419</f>
        <v>16032237</v>
      </c>
      <c r="T75" s="17"/>
      <c r="U75" s="17">
        <f>SUM(O75:S75)</f>
        <v>57641442</v>
      </c>
      <c r="V75" s="17"/>
      <c r="W75" s="17">
        <f t="shared" si="13"/>
        <v>0</v>
      </c>
      <c r="X75" s="17"/>
      <c r="Y75" s="68" t="s">
        <v>67</v>
      </c>
      <c r="Z75" s="17"/>
      <c r="AA75" s="17">
        <f>6383374+2955233</f>
        <v>9338607</v>
      </c>
      <c r="AB75" s="1"/>
      <c r="AC75" s="17">
        <f>3719218+2791367-943477-933333</f>
        <v>4633775</v>
      </c>
      <c r="AD75" s="1"/>
      <c r="AE75" s="17">
        <f>943477+933333</f>
        <v>1876810</v>
      </c>
      <c r="AF75" s="1"/>
      <c r="AG75" s="17">
        <f aca="true" t="shared" si="18" ref="AG75:AG95">+AA75-AC75-AE75</f>
        <v>2828022</v>
      </c>
      <c r="AH75" s="21"/>
      <c r="AI75" s="17">
        <f>393037-41641</f>
        <v>351396</v>
      </c>
      <c r="AJ75" s="21"/>
      <c r="AK75" s="17">
        <v>0</v>
      </c>
      <c r="AL75" s="1"/>
      <c r="AM75" s="17">
        <v>0</v>
      </c>
      <c r="AN75" s="1"/>
      <c r="AO75" s="17">
        <v>0</v>
      </c>
      <c r="AP75" s="1"/>
      <c r="AQ75" s="17">
        <f aca="true" t="shared" si="19" ref="AQ75:AQ95">+AO75+AK75-AM75+AI75+AG75</f>
        <v>3179418</v>
      </c>
      <c r="AR75" s="21"/>
      <c r="AS75" s="1">
        <v>0</v>
      </c>
      <c r="AT75" s="1"/>
      <c r="AU75" s="1">
        <v>0</v>
      </c>
      <c r="AV75" s="1"/>
      <c r="AW75" s="17">
        <f aca="true" t="shared" si="20" ref="AW75:AW95">+C75-I75</f>
        <v>5591635</v>
      </c>
      <c r="AX75" s="1"/>
      <c r="AY75" s="68" t="s">
        <v>67</v>
      </c>
      <c r="AZ75" s="1"/>
      <c r="BA75" s="17">
        <v>0</v>
      </c>
      <c r="BB75" s="1"/>
      <c r="BC75" s="17">
        <f>2699834+615948</f>
        <v>3315782</v>
      </c>
      <c r="BD75" s="1"/>
      <c r="BE75" s="17">
        <f>748172+1067517+8773890+80721+7868515</f>
        <v>18538815</v>
      </c>
      <c r="BF75" s="1"/>
      <c r="BG75" s="17">
        <f>139509+25175</f>
        <v>164684</v>
      </c>
      <c r="BH75" s="1"/>
      <c r="BI75" s="1"/>
      <c r="BJ75" s="1"/>
      <c r="BK75" s="17">
        <f t="shared" si="17"/>
        <v>22019281</v>
      </c>
      <c r="BL75" s="65"/>
    </row>
    <row r="76" spans="1:64" ht="12" customHeight="1">
      <c r="A76" s="63" t="s">
        <v>68</v>
      </c>
      <c r="B76" s="63"/>
      <c r="C76" s="17">
        <f aca="true" t="shared" si="21" ref="C76:C95">+G76-E76</f>
        <v>182712</v>
      </c>
      <c r="D76" s="17"/>
      <c r="E76" s="17">
        <v>1315916</v>
      </c>
      <c r="F76" s="17"/>
      <c r="G76" s="17">
        <v>1498628</v>
      </c>
      <c r="H76" s="17"/>
      <c r="I76" s="17">
        <f aca="true" t="shared" si="22" ref="I76:I95">M76-K76</f>
        <v>52562</v>
      </c>
      <c r="J76" s="17"/>
      <c r="K76" s="17">
        <f aca="true" t="shared" si="23" ref="K76:K95">SUM(BK76)</f>
        <v>875735</v>
      </c>
      <c r="L76" s="17"/>
      <c r="M76" s="17">
        <v>928297</v>
      </c>
      <c r="N76" s="17"/>
      <c r="O76" s="17">
        <v>418237</v>
      </c>
      <c r="P76" s="17"/>
      <c r="Q76" s="17">
        <v>0</v>
      </c>
      <c r="R76" s="17"/>
      <c r="S76" s="17">
        <v>152094</v>
      </c>
      <c r="T76" s="17"/>
      <c r="U76" s="17">
        <f aca="true" t="shared" si="24" ref="U76:U95">SUM(O76:S76)</f>
        <v>570331</v>
      </c>
      <c r="V76" s="17"/>
      <c r="W76" s="17">
        <f t="shared" si="13"/>
        <v>0</v>
      </c>
      <c r="X76" s="17"/>
      <c r="Y76" s="68" t="s">
        <v>68</v>
      </c>
      <c r="Z76" s="17"/>
      <c r="AA76" s="17">
        <v>121431</v>
      </c>
      <c r="AB76" s="1"/>
      <c r="AC76" s="17">
        <f>49625-15333</f>
        <v>34292</v>
      </c>
      <c r="AD76" s="1"/>
      <c r="AE76" s="17">
        <v>15333</v>
      </c>
      <c r="AF76" s="1"/>
      <c r="AG76" s="17">
        <f t="shared" si="18"/>
        <v>71806</v>
      </c>
      <c r="AH76" s="21"/>
      <c r="AI76" s="17">
        <v>5000</v>
      </c>
      <c r="AJ76" s="21"/>
      <c r="AK76" s="17">
        <v>0</v>
      </c>
      <c r="AL76" s="1"/>
      <c r="AM76" s="17">
        <v>0</v>
      </c>
      <c r="AN76" s="1"/>
      <c r="AO76" s="17">
        <v>0</v>
      </c>
      <c r="AP76" s="1"/>
      <c r="AQ76" s="17">
        <f t="shared" si="19"/>
        <v>76806</v>
      </c>
      <c r="AR76" s="21"/>
      <c r="AS76" s="1">
        <v>0</v>
      </c>
      <c r="AT76" s="1"/>
      <c r="AU76" s="1">
        <v>0</v>
      </c>
      <c r="AV76" s="1"/>
      <c r="AW76" s="17">
        <f t="shared" si="20"/>
        <v>130150</v>
      </c>
      <c r="AX76" s="1"/>
      <c r="AY76" s="68" t="s">
        <v>68</v>
      </c>
      <c r="AZ76" s="1"/>
      <c r="BA76" s="17">
        <v>0</v>
      </c>
      <c r="BB76" s="1"/>
      <c r="BC76" s="17">
        <v>0</v>
      </c>
      <c r="BD76" s="1"/>
      <c r="BE76" s="17">
        <f>147654+728081</f>
        <v>875735</v>
      </c>
      <c r="BF76" s="1"/>
      <c r="BG76" s="17">
        <v>0</v>
      </c>
      <c r="BH76" s="1"/>
      <c r="BI76" s="1"/>
      <c r="BJ76" s="1"/>
      <c r="BK76" s="17">
        <f aca="true" t="shared" si="25" ref="BK76:BK95">SUM(BA76:BI76)</f>
        <v>875735</v>
      </c>
      <c r="BL76" s="65"/>
    </row>
    <row r="77" spans="1:64" ht="12" customHeight="1" hidden="1">
      <c r="A77" s="63" t="s">
        <v>176</v>
      </c>
      <c r="B77" s="63"/>
      <c r="C77" s="17">
        <f t="shared" si="21"/>
        <v>0</v>
      </c>
      <c r="D77" s="17"/>
      <c r="E77" s="17">
        <v>0</v>
      </c>
      <c r="F77" s="17"/>
      <c r="G77" s="17">
        <v>0</v>
      </c>
      <c r="H77" s="17"/>
      <c r="I77" s="17">
        <f t="shared" si="22"/>
        <v>0</v>
      </c>
      <c r="J77" s="17"/>
      <c r="K77" s="17">
        <f t="shared" si="23"/>
        <v>0</v>
      </c>
      <c r="L77" s="17"/>
      <c r="M77" s="17">
        <v>0</v>
      </c>
      <c r="N77" s="17"/>
      <c r="O77" s="17">
        <v>0</v>
      </c>
      <c r="P77" s="17"/>
      <c r="Q77" s="17">
        <v>0</v>
      </c>
      <c r="R77" s="17"/>
      <c r="S77" s="17">
        <v>0</v>
      </c>
      <c r="T77" s="17"/>
      <c r="U77" s="17">
        <f t="shared" si="24"/>
        <v>0</v>
      </c>
      <c r="V77" s="17"/>
      <c r="W77" s="17">
        <f aca="true" t="shared" si="26" ref="W77:W96">+G77-M77-U77</f>
        <v>0</v>
      </c>
      <c r="X77" s="17"/>
      <c r="Y77" s="68" t="s">
        <v>176</v>
      </c>
      <c r="Z77" s="17"/>
      <c r="AA77" s="17">
        <v>0</v>
      </c>
      <c r="AB77" s="1"/>
      <c r="AC77" s="17">
        <v>0</v>
      </c>
      <c r="AD77" s="1"/>
      <c r="AE77" s="17">
        <v>0</v>
      </c>
      <c r="AF77" s="1"/>
      <c r="AG77" s="17">
        <f t="shared" si="18"/>
        <v>0</v>
      </c>
      <c r="AH77" s="21"/>
      <c r="AI77" s="17">
        <v>0</v>
      </c>
      <c r="AJ77" s="21"/>
      <c r="AK77" s="17">
        <v>0</v>
      </c>
      <c r="AL77" s="1"/>
      <c r="AM77" s="17">
        <v>0</v>
      </c>
      <c r="AN77" s="1"/>
      <c r="AO77" s="17">
        <v>0</v>
      </c>
      <c r="AP77" s="1"/>
      <c r="AQ77" s="17">
        <f t="shared" si="19"/>
        <v>0</v>
      </c>
      <c r="AR77" s="21"/>
      <c r="AS77" s="1">
        <v>0</v>
      </c>
      <c r="AT77" s="1"/>
      <c r="AU77" s="1">
        <v>0</v>
      </c>
      <c r="AV77" s="1"/>
      <c r="AW77" s="17">
        <f t="shared" si="20"/>
        <v>0</v>
      </c>
      <c r="AX77" s="17"/>
      <c r="AY77" s="68" t="s">
        <v>176</v>
      </c>
      <c r="AZ77" s="17"/>
      <c r="BA77" s="17">
        <v>0</v>
      </c>
      <c r="BB77" s="1"/>
      <c r="BC77" s="17">
        <v>0</v>
      </c>
      <c r="BD77" s="1"/>
      <c r="BE77" s="17">
        <v>0</v>
      </c>
      <c r="BF77" s="1"/>
      <c r="BG77" s="17">
        <v>0</v>
      </c>
      <c r="BH77" s="1"/>
      <c r="BI77" s="1"/>
      <c r="BJ77" s="1"/>
      <c r="BK77" s="17">
        <f t="shared" si="25"/>
        <v>0</v>
      </c>
      <c r="BL77" s="65"/>
    </row>
    <row r="78" spans="1:64" ht="12" customHeight="1">
      <c r="A78" s="63" t="s">
        <v>181</v>
      </c>
      <c r="B78" s="63"/>
      <c r="C78" s="17">
        <f t="shared" si="21"/>
        <v>3436679</v>
      </c>
      <c r="D78" s="17"/>
      <c r="E78" s="17">
        <v>24315664</v>
      </c>
      <c r="F78" s="17"/>
      <c r="G78" s="17">
        <v>27752343</v>
      </c>
      <c r="H78" s="17"/>
      <c r="I78" s="17">
        <f t="shared" si="22"/>
        <v>1831520</v>
      </c>
      <c r="J78" s="17"/>
      <c r="K78" s="17">
        <f t="shared" si="23"/>
        <v>2746446</v>
      </c>
      <c r="L78" s="17"/>
      <c r="M78" s="17">
        <v>4577966</v>
      </c>
      <c r="N78" s="17"/>
      <c r="O78" s="17">
        <v>21615664</v>
      </c>
      <c r="P78" s="17"/>
      <c r="Q78" s="17">
        <v>0</v>
      </c>
      <c r="R78" s="17"/>
      <c r="S78" s="17">
        <v>1558713</v>
      </c>
      <c r="T78" s="17"/>
      <c r="U78" s="17">
        <f t="shared" si="24"/>
        <v>23174377</v>
      </c>
      <c r="V78" s="17"/>
      <c r="W78" s="17">
        <f t="shared" si="26"/>
        <v>0</v>
      </c>
      <c r="X78" s="17"/>
      <c r="Y78" s="68" t="s">
        <v>181</v>
      </c>
      <c r="Z78" s="17"/>
      <c r="AA78" s="17">
        <v>2636674</v>
      </c>
      <c r="AB78" s="1"/>
      <c r="AC78" s="17">
        <f>6459450-1432461</f>
        <v>5026989</v>
      </c>
      <c r="AD78" s="1"/>
      <c r="AE78" s="17">
        <v>1432461</v>
      </c>
      <c r="AF78" s="1"/>
      <c r="AG78" s="17">
        <f t="shared" si="18"/>
        <v>-3822776</v>
      </c>
      <c r="AH78" s="21"/>
      <c r="AI78" s="17">
        <v>3102007</v>
      </c>
      <c r="AJ78" s="21"/>
      <c r="AK78" s="17">
        <v>0</v>
      </c>
      <c r="AL78" s="1"/>
      <c r="AM78" s="17">
        <v>328563</v>
      </c>
      <c r="AN78" s="1"/>
      <c r="AO78" s="17">
        <v>0</v>
      </c>
      <c r="AP78" s="1"/>
      <c r="AQ78" s="17">
        <f t="shared" si="19"/>
        <v>-1049332</v>
      </c>
      <c r="AR78" s="21"/>
      <c r="AS78" s="1">
        <v>0</v>
      </c>
      <c r="AT78" s="1"/>
      <c r="AU78" s="1">
        <v>0</v>
      </c>
      <c r="AV78" s="1"/>
      <c r="AW78" s="17">
        <f t="shared" si="20"/>
        <v>1605159</v>
      </c>
      <c r="AX78" s="1"/>
      <c r="AY78" s="68" t="s">
        <v>181</v>
      </c>
      <c r="AZ78" s="1"/>
      <c r="BA78" s="17">
        <v>0</v>
      </c>
      <c r="BB78" s="1"/>
      <c r="BC78" s="17">
        <v>0</v>
      </c>
      <c r="BD78" s="1"/>
      <c r="BE78" s="17">
        <v>2700000</v>
      </c>
      <c r="BF78" s="1"/>
      <c r="BG78" s="17">
        <v>46446</v>
      </c>
      <c r="BH78" s="1"/>
      <c r="BI78" s="1"/>
      <c r="BJ78" s="1"/>
      <c r="BK78" s="17">
        <f t="shared" si="25"/>
        <v>2746446</v>
      </c>
      <c r="BL78" s="65"/>
    </row>
    <row r="79" spans="1:64" ht="12" customHeight="1">
      <c r="A79" s="63" t="s">
        <v>69</v>
      </c>
      <c r="B79" s="63"/>
      <c r="C79" s="17">
        <f t="shared" si="21"/>
        <v>58098</v>
      </c>
      <c r="D79" s="17"/>
      <c r="E79" s="17">
        <v>111415</v>
      </c>
      <c r="F79" s="17"/>
      <c r="G79" s="17">
        <v>169513</v>
      </c>
      <c r="H79" s="17"/>
      <c r="I79" s="17">
        <f t="shared" si="22"/>
        <v>5254</v>
      </c>
      <c r="J79" s="17"/>
      <c r="K79" s="17">
        <f t="shared" si="23"/>
        <v>0</v>
      </c>
      <c r="L79" s="17"/>
      <c r="M79" s="17">
        <v>5254</v>
      </c>
      <c r="N79" s="17"/>
      <c r="O79" s="17">
        <v>111415</v>
      </c>
      <c r="P79" s="17"/>
      <c r="Q79" s="17">
        <v>0</v>
      </c>
      <c r="R79" s="17"/>
      <c r="S79" s="17">
        <v>52844</v>
      </c>
      <c r="T79" s="17"/>
      <c r="U79" s="17">
        <f t="shared" si="24"/>
        <v>164259</v>
      </c>
      <c r="V79" s="17"/>
      <c r="W79" s="17">
        <f t="shared" si="26"/>
        <v>0</v>
      </c>
      <c r="X79" s="17"/>
      <c r="Y79" s="68" t="s">
        <v>69</v>
      </c>
      <c r="Z79" s="17"/>
      <c r="AA79" s="17">
        <v>54232</v>
      </c>
      <c r="AB79" s="1"/>
      <c r="AC79" s="17">
        <f>57806-5000</f>
        <v>52806</v>
      </c>
      <c r="AD79" s="1"/>
      <c r="AE79" s="17">
        <v>5000</v>
      </c>
      <c r="AF79" s="1"/>
      <c r="AG79" s="17">
        <f t="shared" si="18"/>
        <v>-3574</v>
      </c>
      <c r="AH79" s="21"/>
      <c r="AI79" s="17">
        <v>0</v>
      </c>
      <c r="AJ79" s="21"/>
      <c r="AK79" s="17">
        <v>0</v>
      </c>
      <c r="AL79" s="1"/>
      <c r="AM79" s="17">
        <v>0</v>
      </c>
      <c r="AN79" s="1"/>
      <c r="AO79" s="17">
        <v>0</v>
      </c>
      <c r="AP79" s="1"/>
      <c r="AQ79" s="17">
        <f t="shared" si="19"/>
        <v>-3574</v>
      </c>
      <c r="AR79" s="21"/>
      <c r="AS79" s="1">
        <v>0</v>
      </c>
      <c r="AT79" s="1"/>
      <c r="AU79" s="1">
        <v>0</v>
      </c>
      <c r="AV79" s="1"/>
      <c r="AW79" s="17">
        <f t="shared" si="20"/>
        <v>52844</v>
      </c>
      <c r="AX79" s="1"/>
      <c r="AY79" s="68" t="s">
        <v>69</v>
      </c>
      <c r="AZ79" s="1"/>
      <c r="BA79" s="17">
        <v>0</v>
      </c>
      <c r="BB79" s="1"/>
      <c r="BC79" s="17">
        <v>0</v>
      </c>
      <c r="BD79" s="1"/>
      <c r="BE79" s="17">
        <v>0</v>
      </c>
      <c r="BF79" s="1"/>
      <c r="BG79" s="17">
        <v>0</v>
      </c>
      <c r="BH79" s="1"/>
      <c r="BI79" s="1"/>
      <c r="BJ79" s="1"/>
      <c r="BK79" s="17">
        <f t="shared" si="25"/>
        <v>0</v>
      </c>
      <c r="BL79" s="65"/>
    </row>
    <row r="80" spans="1:64" ht="12" customHeight="1">
      <c r="A80" s="63" t="s">
        <v>98</v>
      </c>
      <c r="B80" s="63"/>
      <c r="C80" s="17">
        <f t="shared" si="21"/>
        <v>876094</v>
      </c>
      <c r="D80" s="17"/>
      <c r="E80" s="17">
        <v>5319562</v>
      </c>
      <c r="F80" s="17"/>
      <c r="G80" s="17">
        <v>6195656</v>
      </c>
      <c r="H80" s="17"/>
      <c r="I80" s="17">
        <f t="shared" si="22"/>
        <v>106122</v>
      </c>
      <c r="J80" s="17"/>
      <c r="K80" s="17">
        <f t="shared" si="23"/>
        <v>141427</v>
      </c>
      <c r="L80" s="17"/>
      <c r="M80" s="17">
        <v>247549</v>
      </c>
      <c r="N80" s="17"/>
      <c r="O80" s="17">
        <v>5159562</v>
      </c>
      <c r="P80" s="17"/>
      <c r="Q80" s="17">
        <v>0</v>
      </c>
      <c r="R80" s="17"/>
      <c r="S80" s="17">
        <v>788545</v>
      </c>
      <c r="T80" s="17"/>
      <c r="U80" s="17">
        <f>SUM(O80:S80)</f>
        <v>5948107</v>
      </c>
      <c r="V80" s="17"/>
      <c r="W80" s="17">
        <f t="shared" si="26"/>
        <v>0</v>
      </c>
      <c r="X80" s="17"/>
      <c r="Y80" s="68" t="s">
        <v>98</v>
      </c>
      <c r="Z80" s="17"/>
      <c r="AA80" s="17">
        <v>972766</v>
      </c>
      <c r="AB80" s="1"/>
      <c r="AC80" s="17">
        <f>1015089-240989</f>
        <v>774100</v>
      </c>
      <c r="AD80" s="1"/>
      <c r="AE80" s="17">
        <v>240989</v>
      </c>
      <c r="AF80" s="1"/>
      <c r="AG80" s="17">
        <f t="shared" si="18"/>
        <v>-42323</v>
      </c>
      <c r="AH80" s="21"/>
      <c r="AI80" s="17">
        <v>-17480</v>
      </c>
      <c r="AJ80" s="21"/>
      <c r="AK80" s="17">
        <v>73278</v>
      </c>
      <c r="AL80" s="1"/>
      <c r="AM80" s="17">
        <v>139941</v>
      </c>
      <c r="AN80" s="1"/>
      <c r="AO80" s="17">
        <v>0</v>
      </c>
      <c r="AP80" s="1"/>
      <c r="AQ80" s="17">
        <f t="shared" si="19"/>
        <v>-126466</v>
      </c>
      <c r="AR80" s="21"/>
      <c r="AS80" s="1">
        <v>0</v>
      </c>
      <c r="AT80" s="1"/>
      <c r="AU80" s="1">
        <v>0</v>
      </c>
      <c r="AV80" s="1"/>
      <c r="AW80" s="17">
        <f t="shared" si="20"/>
        <v>769972</v>
      </c>
      <c r="AX80" s="1"/>
      <c r="AY80" s="68" t="s">
        <v>98</v>
      </c>
      <c r="AZ80" s="1"/>
      <c r="BA80" s="17">
        <v>120000</v>
      </c>
      <c r="BB80" s="1"/>
      <c r="BC80" s="17">
        <v>0</v>
      </c>
      <c r="BD80" s="1"/>
      <c r="BE80" s="17">
        <v>18384</v>
      </c>
      <c r="BF80" s="1"/>
      <c r="BG80" s="17">
        <v>3043</v>
      </c>
      <c r="BH80" s="1"/>
      <c r="BI80" s="1"/>
      <c r="BJ80" s="1"/>
      <c r="BK80" s="17">
        <f t="shared" si="25"/>
        <v>141427</v>
      </c>
      <c r="BL80" s="65"/>
    </row>
    <row r="81" spans="1:64" ht="12" customHeight="1">
      <c r="A81" s="63" t="s">
        <v>70</v>
      </c>
      <c r="B81" s="63"/>
      <c r="C81" s="17">
        <f t="shared" si="21"/>
        <v>1936076</v>
      </c>
      <c r="D81" s="17"/>
      <c r="E81" s="17">
        <v>15329662</v>
      </c>
      <c r="F81" s="17"/>
      <c r="G81" s="17">
        <v>17265738</v>
      </c>
      <c r="H81" s="17"/>
      <c r="I81" s="17">
        <f t="shared" si="22"/>
        <v>931060</v>
      </c>
      <c r="J81" s="17"/>
      <c r="K81" s="17">
        <f t="shared" si="23"/>
        <v>7558105</v>
      </c>
      <c r="L81" s="17"/>
      <c r="M81" s="17">
        <v>8489165</v>
      </c>
      <c r="N81" s="17"/>
      <c r="O81" s="17">
        <v>7374470</v>
      </c>
      <c r="P81" s="17"/>
      <c r="Q81" s="17">
        <f>40000+118702</f>
        <v>158702</v>
      </c>
      <c r="R81" s="17"/>
      <c r="S81" s="17">
        <v>1243401</v>
      </c>
      <c r="T81" s="17"/>
      <c r="U81" s="17">
        <f t="shared" si="24"/>
        <v>8776573</v>
      </c>
      <c r="V81" s="17"/>
      <c r="W81" s="17">
        <f t="shared" si="26"/>
        <v>0</v>
      </c>
      <c r="X81" s="17"/>
      <c r="Y81" s="68" t="s">
        <v>70</v>
      </c>
      <c r="Z81" s="17"/>
      <c r="AA81" s="17">
        <v>2430265</v>
      </c>
      <c r="AB81" s="1"/>
      <c r="AC81" s="17">
        <v>2418865</v>
      </c>
      <c r="AD81" s="1"/>
      <c r="AE81" s="17">
        <v>0</v>
      </c>
      <c r="AF81" s="1"/>
      <c r="AG81" s="17">
        <f t="shared" si="18"/>
        <v>11400</v>
      </c>
      <c r="AH81" s="21"/>
      <c r="AI81" s="17">
        <v>-405620</v>
      </c>
      <c r="AJ81" s="21"/>
      <c r="AK81" s="17">
        <v>0</v>
      </c>
      <c r="AL81" s="1"/>
      <c r="AM81" s="17">
        <v>0</v>
      </c>
      <c r="AN81" s="1"/>
      <c r="AO81" s="17">
        <v>0</v>
      </c>
      <c r="AP81" s="1"/>
      <c r="AQ81" s="17">
        <f t="shared" si="19"/>
        <v>-394220</v>
      </c>
      <c r="AR81" s="21"/>
      <c r="AS81" s="1">
        <v>0</v>
      </c>
      <c r="AT81" s="1"/>
      <c r="AU81" s="1">
        <v>0</v>
      </c>
      <c r="AV81" s="1"/>
      <c r="AW81" s="17">
        <f t="shared" si="20"/>
        <v>1005016</v>
      </c>
      <c r="AX81" s="1"/>
      <c r="AY81" s="68" t="s">
        <v>70</v>
      </c>
      <c r="AZ81" s="1"/>
      <c r="BA81" s="17">
        <v>3885410</v>
      </c>
      <c r="BB81" s="1"/>
      <c r="BC81" s="17">
        <v>105000</v>
      </c>
      <c r="BD81" s="1"/>
      <c r="BE81" s="17">
        <v>484205</v>
      </c>
      <c r="BF81" s="1"/>
      <c r="BG81" s="17">
        <f>29512+3053978</f>
        <v>3083490</v>
      </c>
      <c r="BH81" s="1"/>
      <c r="BI81" s="1"/>
      <c r="BJ81" s="1"/>
      <c r="BK81" s="17">
        <f t="shared" si="25"/>
        <v>7558105</v>
      </c>
      <c r="BL81" s="65"/>
    </row>
    <row r="82" spans="1:64" ht="12" customHeight="1">
      <c r="A82" s="63" t="s">
        <v>71</v>
      </c>
      <c r="B82" s="63"/>
      <c r="C82" s="17">
        <f t="shared" si="21"/>
        <v>172100</v>
      </c>
      <c r="D82" s="17"/>
      <c r="E82" s="17">
        <v>1245183</v>
      </c>
      <c r="F82" s="17"/>
      <c r="G82" s="17">
        <v>1417283</v>
      </c>
      <c r="H82" s="17"/>
      <c r="I82" s="17">
        <f t="shared" si="22"/>
        <v>6805</v>
      </c>
      <c r="J82" s="17"/>
      <c r="K82" s="17">
        <f t="shared" si="23"/>
        <v>12662</v>
      </c>
      <c r="L82" s="17"/>
      <c r="M82" s="17">
        <v>19467</v>
      </c>
      <c r="N82" s="17"/>
      <c r="O82" s="17">
        <v>1245183</v>
      </c>
      <c r="P82" s="17"/>
      <c r="Q82" s="17">
        <v>0</v>
      </c>
      <c r="R82" s="17"/>
      <c r="S82" s="17">
        <v>152633</v>
      </c>
      <c r="T82" s="17"/>
      <c r="U82" s="17">
        <f t="shared" si="24"/>
        <v>1397816</v>
      </c>
      <c r="V82" s="17"/>
      <c r="W82" s="17">
        <f t="shared" si="26"/>
        <v>0</v>
      </c>
      <c r="X82" s="17"/>
      <c r="Y82" s="68" t="s">
        <v>71</v>
      </c>
      <c r="Z82" s="17"/>
      <c r="AA82" s="17">
        <v>161920</v>
      </c>
      <c r="AB82" s="1"/>
      <c r="AC82" s="17">
        <f>161593-51067</f>
        <v>110526</v>
      </c>
      <c r="AD82" s="1"/>
      <c r="AE82" s="17">
        <v>51067</v>
      </c>
      <c r="AF82" s="1"/>
      <c r="AG82" s="17">
        <f t="shared" si="18"/>
        <v>327</v>
      </c>
      <c r="AH82" s="21"/>
      <c r="AI82" s="17">
        <v>342</v>
      </c>
      <c r="AJ82" s="21"/>
      <c r="AK82" s="17">
        <v>0</v>
      </c>
      <c r="AL82" s="1"/>
      <c r="AM82" s="17">
        <v>0</v>
      </c>
      <c r="AN82" s="1"/>
      <c r="AO82" s="17">
        <v>0</v>
      </c>
      <c r="AP82" s="1"/>
      <c r="AQ82" s="17">
        <f t="shared" si="19"/>
        <v>669</v>
      </c>
      <c r="AR82" s="21"/>
      <c r="AS82" s="1">
        <v>0</v>
      </c>
      <c r="AT82" s="1"/>
      <c r="AU82" s="1">
        <v>0</v>
      </c>
      <c r="AV82" s="1"/>
      <c r="AW82" s="17">
        <f t="shared" si="20"/>
        <v>165295</v>
      </c>
      <c r="AX82" s="1"/>
      <c r="AY82" s="68" t="s">
        <v>71</v>
      </c>
      <c r="AZ82" s="1"/>
      <c r="BA82" s="17">
        <v>0</v>
      </c>
      <c r="BB82" s="1"/>
      <c r="BC82" s="17">
        <v>0</v>
      </c>
      <c r="BD82" s="1"/>
      <c r="BE82" s="17">
        <v>12662</v>
      </c>
      <c r="BF82" s="1"/>
      <c r="BG82" s="17">
        <v>0</v>
      </c>
      <c r="BH82" s="1"/>
      <c r="BI82" s="1"/>
      <c r="BJ82" s="1"/>
      <c r="BK82" s="17">
        <f t="shared" si="25"/>
        <v>12662</v>
      </c>
      <c r="BL82" s="65"/>
    </row>
    <row r="83" spans="1:64" ht="12" customHeight="1">
      <c r="A83" s="63" t="s">
        <v>72</v>
      </c>
      <c r="B83" s="63"/>
      <c r="C83" s="17">
        <f t="shared" si="21"/>
        <v>624465</v>
      </c>
      <c r="D83" s="17"/>
      <c r="E83" s="17">
        <v>9086553</v>
      </c>
      <c r="F83" s="17"/>
      <c r="G83" s="17">
        <v>9711018</v>
      </c>
      <c r="H83" s="17"/>
      <c r="I83" s="17">
        <f t="shared" si="22"/>
        <v>689385</v>
      </c>
      <c r="J83" s="17"/>
      <c r="K83" s="17">
        <f>SUM(BK83)</f>
        <v>2779425</v>
      </c>
      <c r="L83" s="17"/>
      <c r="M83" s="17">
        <v>3468810</v>
      </c>
      <c r="N83" s="17"/>
      <c r="O83" s="17">
        <v>5729657</v>
      </c>
      <c r="P83" s="17"/>
      <c r="Q83" s="17">
        <v>0</v>
      </c>
      <c r="R83" s="17"/>
      <c r="S83" s="17">
        <v>512551</v>
      </c>
      <c r="T83" s="17"/>
      <c r="U83" s="17">
        <f t="shared" si="24"/>
        <v>6242208</v>
      </c>
      <c r="V83" s="17"/>
      <c r="W83" s="17">
        <f t="shared" si="26"/>
        <v>0</v>
      </c>
      <c r="X83" s="17"/>
      <c r="Y83" s="68" t="s">
        <v>72</v>
      </c>
      <c r="Z83" s="17"/>
      <c r="AA83" s="17">
        <v>667329</v>
      </c>
      <c r="AB83" s="1"/>
      <c r="AC83" s="17">
        <f>878370-203182</f>
        <v>675188</v>
      </c>
      <c r="AD83" s="1"/>
      <c r="AE83" s="17">
        <v>203182</v>
      </c>
      <c r="AF83" s="1"/>
      <c r="AG83" s="17">
        <f t="shared" si="18"/>
        <v>-211041</v>
      </c>
      <c r="AH83" s="21"/>
      <c r="AI83" s="17">
        <f>507724</f>
        <v>507724</v>
      </c>
      <c r="AJ83" s="21"/>
      <c r="AK83" s="17">
        <v>155000</v>
      </c>
      <c r="AL83" s="1"/>
      <c r="AM83" s="17">
        <v>0</v>
      </c>
      <c r="AN83" s="1"/>
      <c r="AO83" s="17">
        <v>0</v>
      </c>
      <c r="AP83" s="1"/>
      <c r="AQ83" s="17">
        <f t="shared" si="19"/>
        <v>451683</v>
      </c>
      <c r="AR83" s="21"/>
      <c r="AS83" s="1">
        <v>0</v>
      </c>
      <c r="AT83" s="1"/>
      <c r="AU83" s="1">
        <v>0</v>
      </c>
      <c r="AV83" s="1"/>
      <c r="AW83" s="17">
        <f t="shared" si="20"/>
        <v>-64920</v>
      </c>
      <c r="AX83" s="1"/>
      <c r="AY83" s="68" t="s">
        <v>72</v>
      </c>
      <c r="AZ83" s="1"/>
      <c r="BA83" s="17">
        <v>0</v>
      </c>
      <c r="BB83" s="1"/>
      <c r="BC83" s="17">
        <v>0</v>
      </c>
      <c r="BD83" s="1"/>
      <c r="BE83" s="17">
        <f>41250+2714225</f>
        <v>2755475</v>
      </c>
      <c r="BF83" s="1"/>
      <c r="BG83" s="17">
        <v>23950</v>
      </c>
      <c r="BH83" s="1"/>
      <c r="BI83" s="1"/>
      <c r="BJ83" s="1"/>
      <c r="BK83" s="17">
        <f t="shared" si="25"/>
        <v>2779425</v>
      </c>
      <c r="BL83" s="65"/>
    </row>
    <row r="84" spans="1:64" ht="12" customHeight="1">
      <c r="A84" s="63" t="s">
        <v>73</v>
      </c>
      <c r="B84" s="63"/>
      <c r="C84" s="17">
        <f t="shared" si="21"/>
        <v>18227581</v>
      </c>
      <c r="D84" s="17"/>
      <c r="E84" s="17">
        <v>112403927</v>
      </c>
      <c r="F84" s="17"/>
      <c r="G84" s="17">
        <v>130631508</v>
      </c>
      <c r="H84" s="17"/>
      <c r="I84" s="17">
        <f t="shared" si="22"/>
        <v>1071637</v>
      </c>
      <c r="J84" s="17"/>
      <c r="K84" s="17">
        <f t="shared" si="23"/>
        <v>29622547</v>
      </c>
      <c r="L84" s="17"/>
      <c r="M84" s="17">
        <v>30694184</v>
      </c>
      <c r="N84" s="17"/>
      <c r="O84" s="17">
        <v>82781380</v>
      </c>
      <c r="P84" s="17"/>
      <c r="Q84" s="17">
        <v>0</v>
      </c>
      <c r="R84" s="17"/>
      <c r="S84" s="17">
        <v>17155944</v>
      </c>
      <c r="T84" s="17"/>
      <c r="U84" s="17">
        <f t="shared" si="24"/>
        <v>99937324</v>
      </c>
      <c r="V84" s="17"/>
      <c r="W84" s="17">
        <f t="shared" si="26"/>
        <v>0</v>
      </c>
      <c r="X84" s="17"/>
      <c r="Y84" s="68" t="s">
        <v>73</v>
      </c>
      <c r="Z84" s="17"/>
      <c r="AA84" s="17">
        <v>20309302</v>
      </c>
      <c r="AB84" s="1"/>
      <c r="AC84" s="17">
        <f>17517505-3652892</f>
        <v>13864613</v>
      </c>
      <c r="AD84" s="1"/>
      <c r="AE84" s="17">
        <v>3652892</v>
      </c>
      <c r="AF84" s="1"/>
      <c r="AG84" s="17">
        <f t="shared" si="18"/>
        <v>2791797</v>
      </c>
      <c r="AH84" s="21"/>
      <c r="AI84" s="17">
        <v>-1316187</v>
      </c>
      <c r="AJ84" s="21"/>
      <c r="AK84" s="17">
        <v>0</v>
      </c>
      <c r="AL84" s="1"/>
      <c r="AM84" s="17">
        <v>0</v>
      </c>
      <c r="AN84" s="1"/>
      <c r="AO84" s="17">
        <v>2007139</v>
      </c>
      <c r="AP84" s="1"/>
      <c r="AQ84" s="17">
        <f t="shared" si="19"/>
        <v>3482749</v>
      </c>
      <c r="AR84" s="21"/>
      <c r="AS84" s="1">
        <v>0</v>
      </c>
      <c r="AT84" s="1"/>
      <c r="AU84" s="1">
        <v>0</v>
      </c>
      <c r="AV84" s="1"/>
      <c r="AW84" s="17">
        <f t="shared" si="20"/>
        <v>17155944</v>
      </c>
      <c r="AX84" s="1"/>
      <c r="AY84" s="68" t="s">
        <v>73</v>
      </c>
      <c r="AZ84" s="1"/>
      <c r="BA84" s="17">
        <f>1082485+13592024</f>
        <v>14674509</v>
      </c>
      <c r="BB84" s="1"/>
      <c r="BC84" s="17">
        <v>0</v>
      </c>
      <c r="BD84" s="1"/>
      <c r="BE84" s="17">
        <f>46826+456140+570800+13874272</f>
        <v>14948038</v>
      </c>
      <c r="BF84" s="1"/>
      <c r="BG84" s="17">
        <v>0</v>
      </c>
      <c r="BH84" s="1"/>
      <c r="BI84" s="1"/>
      <c r="BJ84" s="1"/>
      <c r="BK84" s="17">
        <f t="shared" si="25"/>
        <v>29622547</v>
      </c>
      <c r="BL84" s="65"/>
    </row>
    <row r="85" spans="1:64" ht="12" customHeight="1">
      <c r="A85" s="63" t="s">
        <v>74</v>
      </c>
      <c r="B85" s="63"/>
      <c r="C85" s="17">
        <f t="shared" si="21"/>
        <v>20105865</v>
      </c>
      <c r="D85" s="17"/>
      <c r="E85" s="17">
        <v>218016391</v>
      </c>
      <c r="F85" s="17"/>
      <c r="G85" s="17">
        <v>238122256</v>
      </c>
      <c r="H85" s="17"/>
      <c r="I85" s="17">
        <f t="shared" si="22"/>
        <v>3489855</v>
      </c>
      <c r="J85" s="17"/>
      <c r="K85" s="17">
        <f t="shared" si="23"/>
        <v>80370257</v>
      </c>
      <c r="L85" s="17"/>
      <c r="M85" s="17">
        <v>83860112</v>
      </c>
      <c r="N85" s="17"/>
      <c r="O85" s="17">
        <v>139000182</v>
      </c>
      <c r="P85" s="17"/>
      <c r="Q85" s="17">
        <v>0</v>
      </c>
      <c r="R85" s="17"/>
      <c r="S85" s="17">
        <v>15261962</v>
      </c>
      <c r="T85" s="17"/>
      <c r="U85" s="17">
        <f t="shared" si="24"/>
        <v>154262144</v>
      </c>
      <c r="V85" s="17"/>
      <c r="W85" s="17">
        <f t="shared" si="26"/>
        <v>0</v>
      </c>
      <c r="X85" s="17"/>
      <c r="Y85" s="68" t="s">
        <v>74</v>
      </c>
      <c r="Z85" s="17"/>
      <c r="AA85" s="17">
        <v>30781619</v>
      </c>
      <c r="AB85" s="1"/>
      <c r="AC85" s="17">
        <f>32032669-7422223</f>
        <v>24610446</v>
      </c>
      <c r="AD85" s="1"/>
      <c r="AE85" s="17">
        <v>7422223</v>
      </c>
      <c r="AF85" s="1"/>
      <c r="AG85" s="17">
        <f t="shared" si="18"/>
        <v>-1251050</v>
      </c>
      <c r="AH85" s="21"/>
      <c r="AI85" s="17">
        <v>-1132970</v>
      </c>
      <c r="AJ85" s="21"/>
      <c r="AK85" s="17">
        <v>1957789</v>
      </c>
      <c r="AL85" s="1"/>
      <c r="AM85" s="17">
        <v>0</v>
      </c>
      <c r="AN85" s="1"/>
      <c r="AO85" s="17">
        <v>7751309</v>
      </c>
      <c r="AP85" s="1"/>
      <c r="AQ85" s="17">
        <f t="shared" si="19"/>
        <v>7325078</v>
      </c>
      <c r="AR85" s="21"/>
      <c r="AS85" s="1">
        <v>0</v>
      </c>
      <c r="AT85" s="1"/>
      <c r="AU85" s="1">
        <v>0</v>
      </c>
      <c r="AV85" s="1"/>
      <c r="AW85" s="17">
        <f t="shared" si="20"/>
        <v>16616010</v>
      </c>
      <c r="AX85" s="1"/>
      <c r="AY85" s="68" t="s">
        <v>74</v>
      </c>
      <c r="AZ85" s="1"/>
      <c r="BA85" s="17">
        <f>53265711+2955899</f>
        <v>56221610</v>
      </c>
      <c r="BB85" s="1"/>
      <c r="BC85" s="17">
        <v>0</v>
      </c>
      <c r="BD85" s="1"/>
      <c r="BE85" s="17">
        <f>17458970+531250+4626232+876779+31250+29458+158751</f>
        <v>23712690</v>
      </c>
      <c r="BF85" s="1"/>
      <c r="BG85" s="17">
        <v>435957</v>
      </c>
      <c r="BH85" s="1"/>
      <c r="BI85" s="1"/>
      <c r="BJ85" s="1"/>
      <c r="BK85" s="17">
        <f t="shared" si="25"/>
        <v>80370257</v>
      </c>
      <c r="BL85" s="65"/>
    </row>
    <row r="86" spans="1:64" ht="12" customHeight="1">
      <c r="A86" s="63" t="s">
        <v>75</v>
      </c>
      <c r="B86" s="63"/>
      <c r="C86" s="17">
        <f t="shared" si="21"/>
        <v>2959193</v>
      </c>
      <c r="D86" s="17"/>
      <c r="E86" s="17">
        <v>18570159</v>
      </c>
      <c r="F86" s="17"/>
      <c r="G86" s="17">
        <v>21529352</v>
      </c>
      <c r="H86" s="17"/>
      <c r="I86" s="17">
        <f t="shared" si="22"/>
        <v>2451284</v>
      </c>
      <c r="J86" s="17"/>
      <c r="K86" s="17">
        <f t="shared" si="23"/>
        <v>6405334</v>
      </c>
      <c r="L86" s="17"/>
      <c r="M86" s="17">
        <v>8856618</v>
      </c>
      <c r="N86" s="17"/>
      <c r="O86" s="17">
        <v>10567063</v>
      </c>
      <c r="P86" s="17"/>
      <c r="Q86" s="17">
        <v>0</v>
      </c>
      <c r="R86" s="17"/>
      <c r="S86" s="17">
        <v>2105671</v>
      </c>
      <c r="T86" s="17"/>
      <c r="U86" s="17">
        <f t="shared" si="24"/>
        <v>12672734</v>
      </c>
      <c r="V86" s="17"/>
      <c r="W86" s="17">
        <f t="shared" si="26"/>
        <v>0</v>
      </c>
      <c r="X86" s="17"/>
      <c r="Y86" s="68" t="s">
        <v>75</v>
      </c>
      <c r="Z86" s="17"/>
      <c r="AA86" s="17">
        <v>9287252</v>
      </c>
      <c r="AB86" s="1"/>
      <c r="AC86" s="17">
        <f>10138188-1846563</f>
        <v>8291625</v>
      </c>
      <c r="AD86" s="1"/>
      <c r="AE86" s="17">
        <v>1846563</v>
      </c>
      <c r="AF86" s="1"/>
      <c r="AG86" s="17">
        <f t="shared" si="18"/>
        <v>-850936</v>
      </c>
      <c r="AH86" s="21"/>
      <c r="AI86" s="17">
        <v>-308351</v>
      </c>
      <c r="AJ86" s="21"/>
      <c r="AK86" s="17">
        <v>329161</v>
      </c>
      <c r="AL86" s="1"/>
      <c r="AM86" s="17">
        <v>878111</v>
      </c>
      <c r="AN86" s="1"/>
      <c r="AO86" s="17">
        <v>2120669</v>
      </c>
      <c r="AP86" s="1"/>
      <c r="AQ86" s="17">
        <f t="shared" si="19"/>
        <v>412432</v>
      </c>
      <c r="AR86" s="21"/>
      <c r="AS86" s="1">
        <v>0</v>
      </c>
      <c r="AT86" s="1"/>
      <c r="AU86" s="1">
        <v>0</v>
      </c>
      <c r="AV86" s="1"/>
      <c r="AW86" s="17">
        <f t="shared" si="20"/>
        <v>507909</v>
      </c>
      <c r="AX86" s="1"/>
      <c r="AY86" s="68" t="s">
        <v>75</v>
      </c>
      <c r="AZ86" s="1"/>
      <c r="BA86" s="17">
        <v>689433</v>
      </c>
      <c r="BB86" s="1"/>
      <c r="BC86" s="17">
        <v>2665800</v>
      </c>
      <c r="BD86" s="1"/>
      <c r="BE86" s="17">
        <f>511326+2331239</f>
        <v>2842565</v>
      </c>
      <c r="BF86" s="1"/>
      <c r="BG86" s="17">
        <v>207536</v>
      </c>
      <c r="BH86" s="1"/>
      <c r="BI86" s="1"/>
      <c r="BJ86" s="1"/>
      <c r="BK86" s="17">
        <f t="shared" si="25"/>
        <v>6405334</v>
      </c>
      <c r="BL86" s="65"/>
    </row>
    <row r="87" spans="1:64" ht="12" customHeight="1">
      <c r="A87" s="63" t="s">
        <v>76</v>
      </c>
      <c r="B87" s="63"/>
      <c r="C87" s="17">
        <f t="shared" si="21"/>
        <v>1774603</v>
      </c>
      <c r="D87" s="17"/>
      <c r="E87" s="17">
        <v>10759733</v>
      </c>
      <c r="F87" s="17"/>
      <c r="G87" s="17">
        <v>12534336</v>
      </c>
      <c r="H87" s="17"/>
      <c r="I87" s="17">
        <f t="shared" si="22"/>
        <v>245455</v>
      </c>
      <c r="J87" s="17"/>
      <c r="K87" s="17">
        <f t="shared" si="23"/>
        <v>1744470</v>
      </c>
      <c r="L87" s="17"/>
      <c r="M87" s="17">
        <v>1989925</v>
      </c>
      <c r="N87" s="17"/>
      <c r="O87" s="17">
        <v>9379243</v>
      </c>
      <c r="P87" s="17"/>
      <c r="Q87" s="17">
        <v>0</v>
      </c>
      <c r="R87" s="17"/>
      <c r="S87" s="17">
        <v>1165168</v>
      </c>
      <c r="T87" s="17"/>
      <c r="U87" s="17">
        <f t="shared" si="24"/>
        <v>10544411</v>
      </c>
      <c r="V87" s="17"/>
      <c r="W87" s="17">
        <f t="shared" si="26"/>
        <v>0</v>
      </c>
      <c r="X87" s="17"/>
      <c r="Y87" s="68" t="s">
        <v>76</v>
      </c>
      <c r="Z87" s="17"/>
      <c r="AA87" s="17">
        <v>1183107</v>
      </c>
      <c r="AB87" s="1"/>
      <c r="AC87" s="17">
        <f>1550257-402096</f>
        <v>1148161</v>
      </c>
      <c r="AD87" s="1"/>
      <c r="AE87" s="17">
        <v>402096</v>
      </c>
      <c r="AF87" s="1"/>
      <c r="AG87" s="17">
        <f t="shared" si="18"/>
        <v>-367150</v>
      </c>
      <c r="AH87" s="21"/>
      <c r="AI87" s="17">
        <v>-66849</v>
      </c>
      <c r="AJ87" s="21"/>
      <c r="AK87" s="17">
        <v>0</v>
      </c>
      <c r="AL87" s="1"/>
      <c r="AM87" s="17">
        <v>0</v>
      </c>
      <c r="AN87" s="1"/>
      <c r="AO87" s="17">
        <v>0</v>
      </c>
      <c r="AP87" s="1"/>
      <c r="AQ87" s="17">
        <f t="shared" si="19"/>
        <v>-433999</v>
      </c>
      <c r="AR87" s="21"/>
      <c r="AS87" s="1">
        <v>0</v>
      </c>
      <c r="AT87" s="1"/>
      <c r="AU87" s="1">
        <v>0</v>
      </c>
      <c r="AV87" s="1"/>
      <c r="AW87" s="17">
        <f t="shared" si="20"/>
        <v>1529148</v>
      </c>
      <c r="AX87" s="1"/>
      <c r="AY87" s="68" t="s">
        <v>76</v>
      </c>
      <c r="AZ87" s="1"/>
      <c r="BA87" s="17">
        <v>0</v>
      </c>
      <c r="BB87" s="1"/>
      <c r="BC87" s="17">
        <v>0</v>
      </c>
      <c r="BD87" s="1"/>
      <c r="BE87" s="17">
        <f>459664+488510</f>
        <v>948174</v>
      </c>
      <c r="BF87" s="1"/>
      <c r="BG87" s="17">
        <f>31555+473741+291000</f>
        <v>796296</v>
      </c>
      <c r="BH87" s="1"/>
      <c r="BI87" s="1"/>
      <c r="BJ87" s="1"/>
      <c r="BK87" s="17">
        <f t="shared" si="25"/>
        <v>1744470</v>
      </c>
      <c r="BL87" s="65"/>
    </row>
    <row r="88" spans="1:64" ht="12" customHeight="1" hidden="1">
      <c r="A88" s="63" t="s">
        <v>77</v>
      </c>
      <c r="B88" s="63"/>
      <c r="C88" s="17">
        <f t="shared" si="21"/>
        <v>0</v>
      </c>
      <c r="D88" s="17"/>
      <c r="E88" s="17"/>
      <c r="F88" s="17"/>
      <c r="G88" s="17"/>
      <c r="H88" s="17"/>
      <c r="I88" s="17">
        <f t="shared" si="22"/>
        <v>0</v>
      </c>
      <c r="J88" s="17"/>
      <c r="K88" s="17">
        <f t="shared" si="23"/>
        <v>0</v>
      </c>
      <c r="L88" s="17"/>
      <c r="M88" s="17"/>
      <c r="N88" s="17"/>
      <c r="O88" s="17"/>
      <c r="P88" s="17"/>
      <c r="Q88" s="17"/>
      <c r="R88" s="17"/>
      <c r="S88" s="17"/>
      <c r="T88" s="17"/>
      <c r="U88" s="17">
        <f t="shared" si="24"/>
        <v>0</v>
      </c>
      <c r="V88" s="17"/>
      <c r="W88" s="17">
        <f t="shared" si="26"/>
        <v>0</v>
      </c>
      <c r="X88" s="17"/>
      <c r="Y88" s="68" t="s">
        <v>77</v>
      </c>
      <c r="Z88" s="17"/>
      <c r="AA88" s="17"/>
      <c r="AB88" s="1"/>
      <c r="AC88" s="17"/>
      <c r="AD88" s="1"/>
      <c r="AE88" s="17"/>
      <c r="AF88" s="1"/>
      <c r="AG88" s="17">
        <f t="shared" si="18"/>
        <v>0</v>
      </c>
      <c r="AH88" s="21"/>
      <c r="AI88" s="17"/>
      <c r="AJ88" s="21"/>
      <c r="AK88" s="17"/>
      <c r="AL88" s="1"/>
      <c r="AM88" s="17"/>
      <c r="AN88" s="1"/>
      <c r="AO88" s="17"/>
      <c r="AP88" s="1"/>
      <c r="AQ88" s="17">
        <f t="shared" si="19"/>
        <v>0</v>
      </c>
      <c r="AR88" s="21"/>
      <c r="AS88" s="1">
        <v>0</v>
      </c>
      <c r="AT88" s="1"/>
      <c r="AU88" s="1">
        <v>0</v>
      </c>
      <c r="AV88" s="1"/>
      <c r="AW88" s="17">
        <f t="shared" si="20"/>
        <v>0</v>
      </c>
      <c r="AX88" s="1"/>
      <c r="AY88" s="68" t="s">
        <v>77</v>
      </c>
      <c r="AZ88" s="1"/>
      <c r="BA88" s="17"/>
      <c r="BB88" s="1"/>
      <c r="BC88" s="17"/>
      <c r="BD88" s="1"/>
      <c r="BE88" s="17"/>
      <c r="BF88" s="1"/>
      <c r="BG88" s="17"/>
      <c r="BH88" s="1"/>
      <c r="BI88" s="1"/>
      <c r="BJ88" s="1"/>
      <c r="BK88" s="17">
        <f t="shared" si="25"/>
        <v>0</v>
      </c>
      <c r="BL88" s="65"/>
    </row>
    <row r="89" spans="1:68" ht="12" customHeight="1" hidden="1">
      <c r="A89" s="63" t="s">
        <v>78</v>
      </c>
      <c r="B89" s="63"/>
      <c r="C89" s="17">
        <f t="shared" si="21"/>
        <v>0</v>
      </c>
      <c r="D89" s="17"/>
      <c r="E89" s="17"/>
      <c r="F89" s="17"/>
      <c r="G89" s="17"/>
      <c r="H89" s="17"/>
      <c r="I89" s="17">
        <f t="shared" si="22"/>
        <v>0</v>
      </c>
      <c r="J89" s="17"/>
      <c r="K89" s="17">
        <f t="shared" si="23"/>
        <v>0</v>
      </c>
      <c r="L89" s="17"/>
      <c r="M89" s="17"/>
      <c r="N89" s="17"/>
      <c r="O89" s="17"/>
      <c r="P89" s="17"/>
      <c r="Q89" s="17"/>
      <c r="R89" s="17"/>
      <c r="S89" s="17"/>
      <c r="T89" s="17"/>
      <c r="U89" s="17">
        <f t="shared" si="24"/>
        <v>0</v>
      </c>
      <c r="V89" s="17"/>
      <c r="W89" s="17">
        <f t="shared" si="26"/>
        <v>0</v>
      </c>
      <c r="X89" s="17"/>
      <c r="Y89" s="68" t="s">
        <v>78</v>
      </c>
      <c r="Z89" s="17"/>
      <c r="AA89" s="17"/>
      <c r="AB89" s="1"/>
      <c r="AC89" s="17"/>
      <c r="AD89" s="1"/>
      <c r="AE89" s="17"/>
      <c r="AF89" s="1"/>
      <c r="AG89" s="17">
        <f t="shared" si="18"/>
        <v>0</v>
      </c>
      <c r="AH89" s="21"/>
      <c r="AI89" s="17"/>
      <c r="AJ89" s="21"/>
      <c r="AK89" s="17"/>
      <c r="AL89" s="1"/>
      <c r="AM89" s="17"/>
      <c r="AN89" s="1"/>
      <c r="AO89" s="17"/>
      <c r="AP89" s="1"/>
      <c r="AQ89" s="17">
        <f t="shared" si="19"/>
        <v>0</v>
      </c>
      <c r="AR89" s="21"/>
      <c r="AS89" s="1">
        <v>0</v>
      </c>
      <c r="AT89" s="1"/>
      <c r="AU89" s="1">
        <v>0</v>
      </c>
      <c r="AV89" s="1"/>
      <c r="AW89" s="17">
        <f t="shared" si="20"/>
        <v>0</v>
      </c>
      <c r="AX89" s="17"/>
      <c r="AY89" s="68" t="s">
        <v>78</v>
      </c>
      <c r="AZ89" s="17"/>
      <c r="BA89" s="17"/>
      <c r="BB89" s="1"/>
      <c r="BC89" s="17"/>
      <c r="BD89" s="1"/>
      <c r="BE89" s="17"/>
      <c r="BF89" s="1"/>
      <c r="BG89" s="17"/>
      <c r="BH89" s="1"/>
      <c r="BI89" s="1"/>
      <c r="BJ89" s="1"/>
      <c r="BK89" s="17">
        <f t="shared" si="25"/>
        <v>0</v>
      </c>
      <c r="BL89" s="65"/>
      <c r="BM89" s="65"/>
      <c r="BN89" s="65"/>
      <c r="BO89" s="65"/>
      <c r="BP89" s="65"/>
    </row>
    <row r="90" spans="1:64" ht="12" customHeight="1" hidden="1">
      <c r="A90" s="63" t="s">
        <v>79</v>
      </c>
      <c r="B90" s="63"/>
      <c r="C90" s="17">
        <f t="shared" si="21"/>
        <v>0</v>
      </c>
      <c r="D90" s="17"/>
      <c r="E90" s="17"/>
      <c r="F90" s="17"/>
      <c r="G90" s="17"/>
      <c r="H90" s="17"/>
      <c r="I90" s="17">
        <f t="shared" si="22"/>
        <v>0</v>
      </c>
      <c r="J90" s="17"/>
      <c r="K90" s="17">
        <f t="shared" si="23"/>
        <v>0</v>
      </c>
      <c r="L90" s="17"/>
      <c r="M90" s="17"/>
      <c r="N90" s="17"/>
      <c r="O90" s="17"/>
      <c r="P90" s="17"/>
      <c r="Q90" s="17"/>
      <c r="R90" s="17"/>
      <c r="S90" s="17"/>
      <c r="T90" s="17"/>
      <c r="U90" s="17">
        <f t="shared" si="24"/>
        <v>0</v>
      </c>
      <c r="V90" s="17"/>
      <c r="W90" s="17">
        <f t="shared" si="26"/>
        <v>0</v>
      </c>
      <c r="X90" s="17"/>
      <c r="Y90" s="68" t="s">
        <v>79</v>
      </c>
      <c r="Z90" s="17"/>
      <c r="AA90" s="17"/>
      <c r="AB90" s="1"/>
      <c r="AC90" s="17"/>
      <c r="AD90" s="1"/>
      <c r="AE90" s="17"/>
      <c r="AF90" s="1"/>
      <c r="AG90" s="17">
        <f t="shared" si="18"/>
        <v>0</v>
      </c>
      <c r="AH90" s="21"/>
      <c r="AI90" s="17"/>
      <c r="AJ90" s="21"/>
      <c r="AK90" s="17"/>
      <c r="AL90" s="1"/>
      <c r="AM90" s="17"/>
      <c r="AN90" s="1"/>
      <c r="AO90" s="17"/>
      <c r="AP90" s="1"/>
      <c r="AQ90" s="17">
        <f t="shared" si="19"/>
        <v>0</v>
      </c>
      <c r="AR90" s="21"/>
      <c r="AS90" s="1">
        <v>0</v>
      </c>
      <c r="AT90" s="1"/>
      <c r="AU90" s="1">
        <v>0</v>
      </c>
      <c r="AV90" s="1"/>
      <c r="AW90" s="17">
        <f t="shared" si="20"/>
        <v>0</v>
      </c>
      <c r="AX90" s="17"/>
      <c r="AY90" s="68" t="s">
        <v>79</v>
      </c>
      <c r="AZ90" s="17"/>
      <c r="BA90" s="17"/>
      <c r="BB90" s="1"/>
      <c r="BC90" s="17"/>
      <c r="BD90" s="1"/>
      <c r="BE90" s="17"/>
      <c r="BF90" s="1"/>
      <c r="BG90" s="17"/>
      <c r="BH90" s="1"/>
      <c r="BI90" s="1"/>
      <c r="BJ90" s="1"/>
      <c r="BK90" s="17">
        <f t="shared" si="25"/>
        <v>0</v>
      </c>
      <c r="BL90" s="65"/>
    </row>
    <row r="91" spans="1:64" ht="12" customHeight="1">
      <c r="A91" s="63" t="s">
        <v>80</v>
      </c>
      <c r="B91" s="63"/>
      <c r="C91" s="17">
        <f t="shared" si="21"/>
        <v>15396355</v>
      </c>
      <c r="D91" s="17"/>
      <c r="E91" s="17">
        <v>84782216</v>
      </c>
      <c r="F91" s="17"/>
      <c r="G91" s="17">
        <v>100178571</v>
      </c>
      <c r="H91" s="17"/>
      <c r="I91" s="17">
        <f t="shared" si="22"/>
        <v>401495</v>
      </c>
      <c r="J91" s="17"/>
      <c r="K91" s="17">
        <f t="shared" si="23"/>
        <v>202256</v>
      </c>
      <c r="L91" s="17"/>
      <c r="M91" s="17">
        <v>603751</v>
      </c>
      <c r="N91" s="17"/>
      <c r="O91" s="17">
        <v>84782216</v>
      </c>
      <c r="P91" s="17"/>
      <c r="Q91" s="17">
        <v>0</v>
      </c>
      <c r="R91" s="17"/>
      <c r="S91" s="17">
        <v>14792604</v>
      </c>
      <c r="T91" s="17"/>
      <c r="U91" s="17">
        <f t="shared" si="24"/>
        <v>99574820</v>
      </c>
      <c r="V91" s="17"/>
      <c r="W91" s="17">
        <f t="shared" si="26"/>
        <v>0</v>
      </c>
      <c r="X91" s="17"/>
      <c r="Y91" s="68" t="s">
        <v>80</v>
      </c>
      <c r="Z91" s="17"/>
      <c r="AA91" s="17">
        <v>7317756</v>
      </c>
      <c r="AB91" s="1"/>
      <c r="AC91" s="17">
        <f>10168146-3311707</f>
        <v>6856439</v>
      </c>
      <c r="AD91" s="1"/>
      <c r="AE91" s="17">
        <v>3311707</v>
      </c>
      <c r="AF91" s="1"/>
      <c r="AG91" s="17">
        <f t="shared" si="18"/>
        <v>-2850390</v>
      </c>
      <c r="AH91" s="21"/>
      <c r="AI91" s="17">
        <f>180975</f>
        <v>180975</v>
      </c>
      <c r="AJ91" s="21"/>
      <c r="AK91" s="17">
        <v>0</v>
      </c>
      <c r="AL91" s="1"/>
      <c r="AM91" s="17">
        <v>0</v>
      </c>
      <c r="AN91" s="1"/>
      <c r="AO91" s="17">
        <f>2974478+6409150</f>
        <v>9383628</v>
      </c>
      <c r="AP91" s="1"/>
      <c r="AQ91" s="17">
        <f t="shared" si="19"/>
        <v>6714213</v>
      </c>
      <c r="AR91" s="21"/>
      <c r="AS91" s="1">
        <v>0</v>
      </c>
      <c r="AT91" s="1"/>
      <c r="AU91" s="1">
        <v>0</v>
      </c>
      <c r="AV91" s="1"/>
      <c r="AW91" s="17">
        <f t="shared" si="20"/>
        <v>14994860</v>
      </c>
      <c r="AX91" s="1"/>
      <c r="AY91" s="68" t="s">
        <v>80</v>
      </c>
      <c r="AZ91" s="1"/>
      <c r="BA91" s="17">
        <v>0</v>
      </c>
      <c r="BB91" s="1"/>
      <c r="BC91" s="17">
        <v>0</v>
      </c>
      <c r="BD91" s="1"/>
      <c r="BE91" s="17">
        <v>0</v>
      </c>
      <c r="BF91" s="1"/>
      <c r="BG91" s="17">
        <v>202256</v>
      </c>
      <c r="BH91" s="1"/>
      <c r="BI91" s="1"/>
      <c r="BJ91" s="1"/>
      <c r="BK91" s="17">
        <f t="shared" si="25"/>
        <v>202256</v>
      </c>
      <c r="BL91" s="65"/>
    </row>
    <row r="92" spans="1:68" ht="12" customHeight="1">
      <c r="A92" s="63" t="s">
        <v>81</v>
      </c>
      <c r="B92" s="63"/>
      <c r="C92" s="17">
        <f t="shared" si="21"/>
        <v>570771</v>
      </c>
      <c r="D92" s="17"/>
      <c r="E92" s="17">
        <f>189760+4889387</f>
        <v>5079147</v>
      </c>
      <c r="F92" s="17"/>
      <c r="G92" s="17">
        <v>5649918</v>
      </c>
      <c r="H92" s="17"/>
      <c r="I92" s="17">
        <f t="shared" si="22"/>
        <v>361648</v>
      </c>
      <c r="J92" s="17"/>
      <c r="K92" s="17">
        <f t="shared" si="23"/>
        <v>1339097</v>
      </c>
      <c r="L92" s="17"/>
      <c r="M92" s="17">
        <v>1700745</v>
      </c>
      <c r="N92" s="17"/>
      <c r="O92" s="17">
        <v>3615887</v>
      </c>
      <c r="P92" s="17"/>
      <c r="Q92" s="17">
        <v>0</v>
      </c>
      <c r="R92" s="17"/>
      <c r="S92" s="17">
        <v>333286</v>
      </c>
      <c r="T92" s="17"/>
      <c r="U92" s="17">
        <f t="shared" si="24"/>
        <v>3949173</v>
      </c>
      <c r="V92" s="17"/>
      <c r="W92" s="17">
        <f t="shared" si="26"/>
        <v>0</v>
      </c>
      <c r="X92" s="17"/>
      <c r="Y92" s="68" t="s">
        <v>81</v>
      </c>
      <c r="Z92" s="17"/>
      <c r="AA92" s="17">
        <v>449019</v>
      </c>
      <c r="AB92" s="1"/>
      <c r="AC92" s="17">
        <f>675361-204065</f>
        <v>471296</v>
      </c>
      <c r="AD92" s="1"/>
      <c r="AE92" s="17">
        <v>204065</v>
      </c>
      <c r="AF92" s="1"/>
      <c r="AG92" s="17">
        <f t="shared" si="18"/>
        <v>-226342</v>
      </c>
      <c r="AH92" s="21"/>
      <c r="AI92" s="17">
        <f>3165-45930</f>
        <v>-42765</v>
      </c>
      <c r="AJ92" s="21"/>
      <c r="AK92" s="17">
        <v>0</v>
      </c>
      <c r="AL92" s="1"/>
      <c r="AM92" s="17">
        <v>0</v>
      </c>
      <c r="AN92" s="1"/>
      <c r="AO92" s="17">
        <v>234925</v>
      </c>
      <c r="AP92" s="1"/>
      <c r="AQ92" s="17">
        <f t="shared" si="19"/>
        <v>-34182</v>
      </c>
      <c r="AR92" s="21"/>
      <c r="AS92" s="1">
        <v>0</v>
      </c>
      <c r="AT92" s="1"/>
      <c r="AU92" s="1">
        <v>0</v>
      </c>
      <c r="AV92" s="1"/>
      <c r="AW92" s="17">
        <f t="shared" si="20"/>
        <v>209123</v>
      </c>
      <c r="AX92" s="17"/>
      <c r="AY92" s="68" t="s">
        <v>81</v>
      </c>
      <c r="AZ92" s="17"/>
      <c r="BA92" s="17">
        <v>0</v>
      </c>
      <c r="BB92" s="1"/>
      <c r="BC92" s="17">
        <v>0</v>
      </c>
      <c r="BD92" s="1"/>
      <c r="BE92" s="17">
        <f>252356+295238+791000</f>
        <v>1338594</v>
      </c>
      <c r="BF92" s="1"/>
      <c r="BG92" s="17">
        <v>503</v>
      </c>
      <c r="BH92" s="1"/>
      <c r="BI92" s="1"/>
      <c r="BJ92" s="1"/>
      <c r="BK92" s="17">
        <f t="shared" si="25"/>
        <v>1339097</v>
      </c>
      <c r="BL92" s="65"/>
      <c r="BM92" s="65"/>
      <c r="BN92" s="65"/>
      <c r="BO92" s="65"/>
      <c r="BP92" s="65"/>
    </row>
    <row r="93" spans="1:64" ht="12" customHeight="1">
      <c r="A93" s="63" t="s">
        <v>82</v>
      </c>
      <c r="B93" s="63"/>
      <c r="C93" s="17">
        <f t="shared" si="21"/>
        <v>1321578</v>
      </c>
      <c r="D93" s="17"/>
      <c r="E93" s="17">
        <v>8687528</v>
      </c>
      <c r="F93" s="17"/>
      <c r="G93" s="17">
        <v>10009106</v>
      </c>
      <c r="H93" s="17"/>
      <c r="I93" s="17">
        <f t="shared" si="22"/>
        <v>130449</v>
      </c>
      <c r="J93" s="17"/>
      <c r="K93" s="17">
        <f t="shared" si="23"/>
        <v>2703602</v>
      </c>
      <c r="L93" s="17"/>
      <c r="M93" s="17">
        <v>2834051</v>
      </c>
      <c r="N93" s="17"/>
      <c r="O93" s="17">
        <v>5974728</v>
      </c>
      <c r="P93" s="17"/>
      <c r="Q93" s="17">
        <v>0</v>
      </c>
      <c r="R93" s="17"/>
      <c r="S93" s="17">
        <v>1200327</v>
      </c>
      <c r="T93" s="17"/>
      <c r="U93" s="17">
        <f t="shared" si="24"/>
        <v>7175055</v>
      </c>
      <c r="V93" s="17"/>
      <c r="W93" s="17">
        <f t="shared" si="26"/>
        <v>0</v>
      </c>
      <c r="X93" s="17"/>
      <c r="Y93" s="68" t="s">
        <v>82</v>
      </c>
      <c r="Z93" s="17"/>
      <c r="AA93" s="17">
        <v>968760</v>
      </c>
      <c r="AB93" s="1"/>
      <c r="AC93" s="17">
        <f>1119589-247701</f>
        <v>871888</v>
      </c>
      <c r="AD93" s="1"/>
      <c r="AE93" s="17">
        <v>247701</v>
      </c>
      <c r="AF93" s="1"/>
      <c r="AG93" s="17">
        <f t="shared" si="18"/>
        <v>-150829</v>
      </c>
      <c r="AH93" s="21"/>
      <c r="AI93" s="17">
        <v>127225</v>
      </c>
      <c r="AJ93" s="21"/>
      <c r="AK93" s="17">
        <v>0</v>
      </c>
      <c r="AL93" s="1"/>
      <c r="AM93" s="17">
        <v>277787</v>
      </c>
      <c r="AN93" s="1"/>
      <c r="AO93" s="17">
        <v>0</v>
      </c>
      <c r="AP93" s="1"/>
      <c r="AQ93" s="17">
        <f t="shared" si="19"/>
        <v>-301391</v>
      </c>
      <c r="AR93" s="21"/>
      <c r="AS93" s="1">
        <v>0</v>
      </c>
      <c r="AT93" s="1"/>
      <c r="AU93" s="1">
        <v>0</v>
      </c>
      <c r="AV93" s="1"/>
      <c r="AW93" s="17">
        <f t="shared" si="20"/>
        <v>1191129</v>
      </c>
      <c r="AX93" s="1"/>
      <c r="AY93" s="68" t="s">
        <v>82</v>
      </c>
      <c r="AZ93" s="1"/>
      <c r="BA93" s="17">
        <v>1816100</v>
      </c>
      <c r="BB93" s="1"/>
      <c r="BC93" s="17">
        <v>868000</v>
      </c>
      <c r="BD93" s="1"/>
      <c r="BE93" s="17">
        <v>0</v>
      </c>
      <c r="BF93" s="1"/>
      <c r="BG93" s="17">
        <v>19502</v>
      </c>
      <c r="BH93" s="1"/>
      <c r="BI93" s="1"/>
      <c r="BJ93" s="1"/>
      <c r="BK93" s="17">
        <f t="shared" si="25"/>
        <v>2703602</v>
      </c>
      <c r="BL93" s="65"/>
    </row>
    <row r="94" spans="1:64" ht="12" customHeight="1" hidden="1">
      <c r="A94" s="63" t="s">
        <v>174</v>
      </c>
      <c r="B94" s="63"/>
      <c r="C94" s="17">
        <f t="shared" si="21"/>
        <v>33792</v>
      </c>
      <c r="D94" s="17"/>
      <c r="E94" s="17">
        <v>0</v>
      </c>
      <c r="F94" s="17"/>
      <c r="G94" s="17">
        <v>33792</v>
      </c>
      <c r="H94" s="17"/>
      <c r="I94" s="17">
        <f t="shared" si="22"/>
        <v>0</v>
      </c>
      <c r="J94" s="17"/>
      <c r="K94" s="17">
        <f t="shared" si="23"/>
        <v>0</v>
      </c>
      <c r="L94" s="17"/>
      <c r="M94" s="17">
        <v>0</v>
      </c>
      <c r="N94" s="17"/>
      <c r="O94" s="17">
        <v>0</v>
      </c>
      <c r="P94" s="17"/>
      <c r="Q94" s="17">
        <v>0</v>
      </c>
      <c r="R94" s="17"/>
      <c r="S94" s="17">
        <v>33792</v>
      </c>
      <c r="T94" s="17"/>
      <c r="U94" s="17">
        <f t="shared" si="24"/>
        <v>33792</v>
      </c>
      <c r="V94" s="17"/>
      <c r="W94" s="17">
        <f t="shared" si="26"/>
        <v>0</v>
      </c>
      <c r="X94" s="17"/>
      <c r="Y94" s="63" t="s">
        <v>174</v>
      </c>
      <c r="Z94" s="17"/>
      <c r="AA94" s="1">
        <v>377235</v>
      </c>
      <c r="AB94" s="1"/>
      <c r="AC94" s="1">
        <f>369172</f>
        <v>369172</v>
      </c>
      <c r="AD94" s="1"/>
      <c r="AE94" s="1">
        <v>0</v>
      </c>
      <c r="AF94" s="1"/>
      <c r="AG94" s="17">
        <f t="shared" si="18"/>
        <v>8063</v>
      </c>
      <c r="AH94" s="21"/>
      <c r="AI94" s="21">
        <f>-7021</f>
        <v>-7021</v>
      </c>
      <c r="AJ94" s="21"/>
      <c r="AK94" s="1">
        <v>0</v>
      </c>
      <c r="AL94" s="1"/>
      <c r="AM94" s="1">
        <v>0</v>
      </c>
      <c r="AN94" s="1"/>
      <c r="AO94" s="1">
        <v>0</v>
      </c>
      <c r="AP94" s="1"/>
      <c r="AQ94" s="17">
        <f t="shared" si="19"/>
        <v>1042</v>
      </c>
      <c r="AR94" s="21"/>
      <c r="AS94" s="1">
        <v>0</v>
      </c>
      <c r="AT94" s="1"/>
      <c r="AU94" s="1">
        <v>0</v>
      </c>
      <c r="AV94" s="1"/>
      <c r="AW94" s="17">
        <f t="shared" si="20"/>
        <v>33792</v>
      </c>
      <c r="AX94" s="17"/>
      <c r="AY94" s="63" t="s">
        <v>174</v>
      </c>
      <c r="AZ94" s="17"/>
      <c r="BA94" s="1">
        <v>0</v>
      </c>
      <c r="BB94" s="1"/>
      <c r="BC94" s="1">
        <v>0</v>
      </c>
      <c r="BD94" s="1"/>
      <c r="BE94" s="1">
        <v>0</v>
      </c>
      <c r="BF94" s="1"/>
      <c r="BG94" s="1">
        <v>0</v>
      </c>
      <c r="BH94" s="1"/>
      <c r="BI94" s="1"/>
      <c r="BJ94" s="1"/>
      <c r="BK94" s="17">
        <f t="shared" si="25"/>
        <v>0</v>
      </c>
      <c r="BL94" s="65"/>
    </row>
    <row r="95" spans="1:64" ht="12" customHeight="1" hidden="1">
      <c r="A95" s="63" t="s">
        <v>83</v>
      </c>
      <c r="B95" s="63"/>
      <c r="C95" s="17">
        <f t="shared" si="21"/>
        <v>0</v>
      </c>
      <c r="D95" s="17"/>
      <c r="E95" s="17">
        <v>0</v>
      </c>
      <c r="F95" s="17"/>
      <c r="G95" s="17">
        <v>0</v>
      </c>
      <c r="H95" s="17"/>
      <c r="I95" s="17">
        <f t="shared" si="22"/>
        <v>0</v>
      </c>
      <c r="J95" s="17"/>
      <c r="K95" s="17">
        <f t="shared" si="23"/>
        <v>0</v>
      </c>
      <c r="L95" s="17"/>
      <c r="M95" s="17">
        <v>0</v>
      </c>
      <c r="N95" s="17"/>
      <c r="O95" s="17">
        <v>0</v>
      </c>
      <c r="P95" s="17"/>
      <c r="Q95" s="17">
        <v>0</v>
      </c>
      <c r="R95" s="17"/>
      <c r="S95" s="17">
        <v>0</v>
      </c>
      <c r="T95" s="17"/>
      <c r="U95" s="17">
        <f t="shared" si="24"/>
        <v>0</v>
      </c>
      <c r="V95" s="17"/>
      <c r="W95" s="17">
        <f t="shared" si="26"/>
        <v>0</v>
      </c>
      <c r="X95" s="17"/>
      <c r="Y95" s="63" t="s">
        <v>83</v>
      </c>
      <c r="Z95" s="17"/>
      <c r="AA95" s="1">
        <v>0</v>
      </c>
      <c r="AB95" s="1"/>
      <c r="AC95" s="1">
        <v>0</v>
      </c>
      <c r="AD95" s="1"/>
      <c r="AE95" s="1">
        <v>0</v>
      </c>
      <c r="AF95" s="1"/>
      <c r="AG95" s="17">
        <f t="shared" si="18"/>
        <v>0</v>
      </c>
      <c r="AH95" s="21"/>
      <c r="AI95" s="21">
        <v>0</v>
      </c>
      <c r="AJ95" s="21"/>
      <c r="AK95" s="1">
        <v>0</v>
      </c>
      <c r="AL95" s="1"/>
      <c r="AM95" s="1">
        <v>0</v>
      </c>
      <c r="AN95" s="1"/>
      <c r="AO95" s="1">
        <v>0</v>
      </c>
      <c r="AP95" s="1"/>
      <c r="AQ95" s="17">
        <f t="shared" si="19"/>
        <v>0</v>
      </c>
      <c r="AR95" s="21"/>
      <c r="AS95" s="1">
        <v>0</v>
      </c>
      <c r="AT95" s="1"/>
      <c r="AU95" s="1">
        <v>0</v>
      </c>
      <c r="AV95" s="1"/>
      <c r="AW95" s="17">
        <f t="shared" si="20"/>
        <v>0</v>
      </c>
      <c r="AX95" s="17"/>
      <c r="AY95" s="63" t="s">
        <v>83</v>
      </c>
      <c r="AZ95" s="17"/>
      <c r="BA95" s="1">
        <v>0</v>
      </c>
      <c r="BB95" s="1"/>
      <c r="BC95" s="1">
        <v>0</v>
      </c>
      <c r="BD95" s="1"/>
      <c r="BE95" s="1">
        <v>0</v>
      </c>
      <c r="BF95" s="1"/>
      <c r="BG95" s="1">
        <v>0</v>
      </c>
      <c r="BH95" s="1"/>
      <c r="BI95" s="1"/>
      <c r="BJ95" s="1"/>
      <c r="BK95" s="17">
        <f t="shared" si="25"/>
        <v>0</v>
      </c>
      <c r="BL95" s="65"/>
    </row>
    <row r="96" spans="1:64" ht="12" customHeight="1" hidden="1">
      <c r="A96" s="63" t="s">
        <v>175</v>
      </c>
      <c r="B96" s="63"/>
      <c r="C96" s="17">
        <f>G96-E96</f>
        <v>0</v>
      </c>
      <c r="D96" s="17"/>
      <c r="E96" s="17"/>
      <c r="F96" s="17"/>
      <c r="G96" s="17"/>
      <c r="H96" s="17"/>
      <c r="I96" s="17">
        <f>M96-K96</f>
        <v>0</v>
      </c>
      <c r="J96" s="17"/>
      <c r="K96" s="17">
        <f>SUM(BK96)</f>
        <v>0</v>
      </c>
      <c r="L96" s="17"/>
      <c r="M96" s="17"/>
      <c r="N96" s="17"/>
      <c r="O96" s="17"/>
      <c r="P96" s="17"/>
      <c r="Q96" s="17"/>
      <c r="R96" s="17"/>
      <c r="S96" s="17"/>
      <c r="T96" s="17"/>
      <c r="U96" s="17">
        <f>SUM(O96:S96)</f>
        <v>0</v>
      </c>
      <c r="V96" s="17"/>
      <c r="W96" s="17">
        <f t="shared" si="26"/>
        <v>0</v>
      </c>
      <c r="X96" s="17"/>
      <c r="Y96" s="63" t="s">
        <v>175</v>
      </c>
      <c r="Z96" s="17"/>
      <c r="AA96" s="1"/>
      <c r="AB96" s="1"/>
      <c r="AC96" s="1"/>
      <c r="AD96" s="1"/>
      <c r="AE96" s="1"/>
      <c r="AF96" s="1"/>
      <c r="AG96" s="17">
        <f>+AA96-AC96-AE96</f>
        <v>0</v>
      </c>
      <c r="AH96" s="21"/>
      <c r="AI96" s="21"/>
      <c r="AJ96" s="21"/>
      <c r="AK96" s="1"/>
      <c r="AL96" s="1"/>
      <c r="AM96" s="1"/>
      <c r="AN96" s="1"/>
      <c r="AO96" s="1"/>
      <c r="AP96" s="1"/>
      <c r="AQ96" s="17">
        <f>+AG96+AI96+AK96-AM96+AO96</f>
        <v>0</v>
      </c>
      <c r="AR96" s="21"/>
      <c r="AS96" s="1">
        <v>0</v>
      </c>
      <c r="AT96" s="1"/>
      <c r="AU96" s="1">
        <v>0</v>
      </c>
      <c r="AV96" s="1"/>
      <c r="AW96" s="17">
        <f>+C96-I96</f>
        <v>0</v>
      </c>
      <c r="AX96" s="17"/>
      <c r="AY96" s="63" t="s">
        <v>175</v>
      </c>
      <c r="AZ96" s="17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7">
        <f>SUM(BA96:BI96)</f>
        <v>0</v>
      </c>
      <c r="BL96" s="65"/>
    </row>
    <row r="97" spans="1:64" ht="12" customHeight="1">
      <c r="A97" s="63"/>
      <c r="B97" s="63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63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63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65"/>
    </row>
    <row r="98" spans="1:64" ht="12.75">
      <c r="A98" s="63"/>
      <c r="B98" s="6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63"/>
      <c r="Z98" s="53"/>
      <c r="AA98" s="53"/>
      <c r="AB98" s="53"/>
      <c r="AC98" s="71"/>
      <c r="AD98" s="71"/>
      <c r="AE98" s="71"/>
      <c r="AF98" s="71"/>
      <c r="AG98" s="53"/>
      <c r="AH98" s="72"/>
      <c r="AI98" s="72"/>
      <c r="AJ98" s="72"/>
      <c r="AK98" s="72"/>
      <c r="AL98" s="72"/>
      <c r="AM98" s="72"/>
      <c r="AN98" s="72"/>
      <c r="AO98" s="65"/>
      <c r="AP98" s="65"/>
      <c r="AQ98" s="53"/>
      <c r="AR98" s="65"/>
      <c r="AS98" s="65"/>
      <c r="AT98" s="65"/>
      <c r="AU98" s="65"/>
      <c r="AV98" s="65"/>
      <c r="AW98" s="53"/>
      <c r="AX98" s="65"/>
      <c r="AY98" s="63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53"/>
      <c r="BL98" s="65"/>
    </row>
    <row r="99" spans="1:64" ht="12.75">
      <c r="A99" s="63"/>
      <c r="B99" s="6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>
        <f>SUM(AA10:AA98)</f>
        <v>303092722</v>
      </c>
      <c r="AB99" s="53"/>
      <c r="AC99" s="71"/>
      <c r="AD99" s="71"/>
      <c r="AE99" s="71">
        <f>SUM(AC10:AE97)</f>
        <v>313582799</v>
      </c>
      <c r="AF99" s="71"/>
      <c r="AG99" s="53"/>
      <c r="AH99" s="72"/>
      <c r="AI99" s="72"/>
      <c r="AJ99" s="72"/>
      <c r="AK99" s="72"/>
      <c r="AL99" s="72"/>
      <c r="AM99" s="72"/>
      <c r="AN99" s="72"/>
      <c r="AO99" s="65"/>
      <c r="AP99" s="65"/>
      <c r="AQ99" s="53"/>
      <c r="AR99" s="65"/>
      <c r="AS99" s="65"/>
      <c r="AT99" s="65"/>
      <c r="AU99" s="65"/>
      <c r="AV99" s="65"/>
      <c r="AW99" s="53"/>
      <c r="AX99" s="65"/>
      <c r="AY99" s="53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53"/>
      <c r="BL99" s="65"/>
    </row>
    <row r="100" spans="1:64" ht="12.75">
      <c r="A100" s="63"/>
      <c r="B100" s="6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71"/>
      <c r="AD100" s="71"/>
      <c r="AE100" s="71"/>
      <c r="AF100" s="71"/>
      <c r="AG100" s="53"/>
      <c r="AH100" s="72"/>
      <c r="AI100" s="72"/>
      <c r="AJ100" s="72"/>
      <c r="AK100" s="72"/>
      <c r="AL100" s="72"/>
      <c r="AM100" s="72"/>
      <c r="AN100" s="72"/>
      <c r="AO100" s="65"/>
      <c r="AP100" s="65"/>
      <c r="AQ100" s="53"/>
      <c r="AR100" s="65"/>
      <c r="AS100" s="65"/>
      <c r="AT100" s="65"/>
      <c r="AU100" s="65"/>
      <c r="AV100" s="65"/>
      <c r="AW100" s="53"/>
      <c r="AX100" s="65"/>
      <c r="AY100" s="53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53"/>
      <c r="BL100" s="65"/>
    </row>
    <row r="101" spans="1:64" ht="12.75">
      <c r="A101" s="63"/>
      <c r="B101" s="6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71"/>
      <c r="AD101" s="71"/>
      <c r="AE101" s="71"/>
      <c r="AF101" s="71"/>
      <c r="AG101" s="53"/>
      <c r="AH101" s="72"/>
      <c r="AI101" s="72"/>
      <c r="AJ101" s="72"/>
      <c r="AK101" s="72"/>
      <c r="AL101" s="72"/>
      <c r="AM101" s="72"/>
      <c r="AN101" s="72"/>
      <c r="AO101" s="65"/>
      <c r="AP101" s="65"/>
      <c r="AQ101" s="53"/>
      <c r="AR101" s="65"/>
      <c r="AS101" s="65"/>
      <c r="AT101" s="65"/>
      <c r="AU101" s="65"/>
      <c r="AV101" s="65"/>
      <c r="AW101" s="53"/>
      <c r="AX101" s="65"/>
      <c r="AY101" s="53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53"/>
      <c r="BL101" s="65"/>
    </row>
    <row r="102" spans="1:64" ht="12.75">
      <c r="A102" s="63"/>
      <c r="B102" s="6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71"/>
      <c r="AD102" s="71"/>
      <c r="AE102" s="71"/>
      <c r="AF102" s="71"/>
      <c r="AG102" s="53"/>
      <c r="AH102" s="72"/>
      <c r="AI102" s="72"/>
      <c r="AJ102" s="72"/>
      <c r="AK102" s="72"/>
      <c r="AL102" s="72"/>
      <c r="AM102" s="72"/>
      <c r="AN102" s="72"/>
      <c r="AO102" s="65"/>
      <c r="AP102" s="65"/>
      <c r="AQ102" s="53"/>
      <c r="AR102" s="65"/>
      <c r="AS102" s="65"/>
      <c r="AT102" s="65"/>
      <c r="AU102" s="65"/>
      <c r="AV102" s="65"/>
      <c r="AW102" s="53"/>
      <c r="AX102" s="65"/>
      <c r="AY102" s="53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53"/>
      <c r="BL102" s="65"/>
    </row>
    <row r="103" spans="1:64" ht="12.75">
      <c r="A103" s="63"/>
      <c r="B103" s="6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71"/>
      <c r="AD103" s="71"/>
      <c r="AE103" s="71"/>
      <c r="AF103" s="71"/>
      <c r="AG103" s="53"/>
      <c r="AH103" s="72"/>
      <c r="AI103" s="72"/>
      <c r="AJ103" s="72"/>
      <c r="AK103" s="72"/>
      <c r="AL103" s="72"/>
      <c r="AM103" s="72"/>
      <c r="AN103" s="72"/>
      <c r="AO103" s="65"/>
      <c r="AP103" s="65"/>
      <c r="AQ103" s="53"/>
      <c r="AR103" s="65"/>
      <c r="AS103" s="65"/>
      <c r="AT103" s="65"/>
      <c r="AU103" s="65"/>
      <c r="AV103" s="65"/>
      <c r="AW103" s="53"/>
      <c r="AX103" s="65"/>
      <c r="AY103" s="53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53"/>
      <c r="BL103" s="65"/>
    </row>
    <row r="104" spans="1:64" ht="12.75">
      <c r="A104" s="63"/>
      <c r="B104" s="6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71"/>
      <c r="AD104" s="71"/>
      <c r="AE104" s="71"/>
      <c r="AF104" s="71"/>
      <c r="AG104" s="53"/>
      <c r="AH104" s="72"/>
      <c r="AI104" s="72"/>
      <c r="AJ104" s="72"/>
      <c r="AK104" s="72"/>
      <c r="AL104" s="72"/>
      <c r="AM104" s="72"/>
      <c r="AN104" s="72"/>
      <c r="AO104" s="65"/>
      <c r="AP104" s="65"/>
      <c r="AQ104" s="53"/>
      <c r="AR104" s="65"/>
      <c r="AS104" s="65"/>
      <c r="AT104" s="65"/>
      <c r="AU104" s="65"/>
      <c r="AV104" s="65"/>
      <c r="AW104" s="53"/>
      <c r="AX104" s="65"/>
      <c r="AY104" s="53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53"/>
      <c r="BL104" s="65"/>
    </row>
    <row r="105" spans="1:64" ht="12.75">
      <c r="A105" s="63"/>
      <c r="B105" s="6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71"/>
      <c r="AD105" s="71"/>
      <c r="AE105" s="71"/>
      <c r="AF105" s="71"/>
      <c r="AG105" s="53"/>
      <c r="AH105" s="72"/>
      <c r="AI105" s="72"/>
      <c r="AJ105" s="72"/>
      <c r="AK105" s="72"/>
      <c r="AL105" s="72"/>
      <c r="AM105" s="72"/>
      <c r="AN105" s="72"/>
      <c r="AO105" s="65"/>
      <c r="AP105" s="65"/>
      <c r="AQ105" s="53"/>
      <c r="AR105" s="65"/>
      <c r="AS105" s="65"/>
      <c r="AT105" s="65"/>
      <c r="AU105" s="65"/>
      <c r="AV105" s="65"/>
      <c r="AW105" s="53"/>
      <c r="AX105" s="65"/>
      <c r="AY105" s="53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53"/>
      <c r="BL105" s="65"/>
    </row>
    <row r="106" spans="1:64" ht="12.75">
      <c r="A106" s="63"/>
      <c r="B106" s="6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71"/>
      <c r="AD106" s="71"/>
      <c r="AE106" s="71"/>
      <c r="AF106" s="71"/>
      <c r="AG106" s="53"/>
      <c r="AH106" s="72"/>
      <c r="AI106" s="72"/>
      <c r="AJ106" s="72"/>
      <c r="AK106" s="72"/>
      <c r="AL106" s="72"/>
      <c r="AM106" s="72"/>
      <c r="AN106" s="72"/>
      <c r="AO106" s="65"/>
      <c r="AP106" s="65"/>
      <c r="AQ106" s="53"/>
      <c r="AR106" s="65"/>
      <c r="AS106" s="65"/>
      <c r="AT106" s="65"/>
      <c r="AU106" s="65"/>
      <c r="AV106" s="65"/>
      <c r="AW106" s="53"/>
      <c r="AX106" s="65"/>
      <c r="AY106" s="53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53"/>
      <c r="BL106" s="65"/>
    </row>
    <row r="107" spans="1:64" ht="12.75">
      <c r="A107" s="63"/>
      <c r="B107" s="6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71"/>
      <c r="AD107" s="71"/>
      <c r="AE107" s="71"/>
      <c r="AF107" s="71"/>
      <c r="AG107" s="53"/>
      <c r="AH107" s="72"/>
      <c r="AI107" s="72"/>
      <c r="AJ107" s="72"/>
      <c r="AK107" s="72"/>
      <c r="AL107" s="72"/>
      <c r="AM107" s="72"/>
      <c r="AN107" s="72"/>
      <c r="AO107" s="65"/>
      <c r="AP107" s="65"/>
      <c r="AQ107" s="53"/>
      <c r="AR107" s="65"/>
      <c r="AS107" s="65"/>
      <c r="AT107" s="65"/>
      <c r="AU107" s="65"/>
      <c r="AV107" s="65"/>
      <c r="AW107" s="53"/>
      <c r="AX107" s="65"/>
      <c r="AY107" s="53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53"/>
      <c r="BL107" s="65"/>
    </row>
    <row r="108" spans="1:64" ht="12.75">
      <c r="A108" s="63"/>
      <c r="B108" s="6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71"/>
      <c r="AD108" s="71"/>
      <c r="AE108" s="71"/>
      <c r="AF108" s="71"/>
      <c r="AG108" s="53"/>
      <c r="AH108" s="72"/>
      <c r="AI108" s="72"/>
      <c r="AJ108" s="72"/>
      <c r="AK108" s="72"/>
      <c r="AL108" s="72"/>
      <c r="AM108" s="72"/>
      <c r="AN108" s="72"/>
      <c r="AO108" s="65"/>
      <c r="AP108" s="65"/>
      <c r="AQ108" s="53"/>
      <c r="AR108" s="65"/>
      <c r="AS108" s="65"/>
      <c r="AT108" s="65"/>
      <c r="AU108" s="65"/>
      <c r="AV108" s="65"/>
      <c r="AW108" s="53"/>
      <c r="AX108" s="65"/>
      <c r="AY108" s="53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53"/>
      <c r="BL108" s="65"/>
    </row>
    <row r="109" spans="1:64" ht="12.75">
      <c r="A109" s="63"/>
      <c r="B109" s="6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71"/>
      <c r="AD109" s="71"/>
      <c r="AE109" s="71"/>
      <c r="AF109" s="71"/>
      <c r="AG109" s="53"/>
      <c r="AH109" s="72"/>
      <c r="AI109" s="72"/>
      <c r="AJ109" s="72"/>
      <c r="AK109" s="72"/>
      <c r="AL109" s="72"/>
      <c r="AM109" s="72"/>
      <c r="AN109" s="72"/>
      <c r="AO109" s="65"/>
      <c r="AP109" s="65"/>
      <c r="AQ109" s="53"/>
      <c r="AR109" s="65"/>
      <c r="AS109" s="65"/>
      <c r="AT109" s="65"/>
      <c r="AU109" s="65"/>
      <c r="AV109" s="65"/>
      <c r="AW109" s="53"/>
      <c r="AX109" s="65"/>
      <c r="AY109" s="53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53"/>
      <c r="BL109" s="65"/>
    </row>
    <row r="110" spans="1:64" ht="12.75">
      <c r="A110" s="63"/>
      <c r="B110" s="6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71"/>
      <c r="AD110" s="71"/>
      <c r="AE110" s="71"/>
      <c r="AF110" s="71"/>
      <c r="AG110" s="53"/>
      <c r="AH110" s="72"/>
      <c r="AI110" s="72"/>
      <c r="AJ110" s="72"/>
      <c r="AK110" s="72"/>
      <c r="AL110" s="72"/>
      <c r="AM110" s="72"/>
      <c r="AN110" s="72"/>
      <c r="AO110" s="65"/>
      <c r="AP110" s="65"/>
      <c r="AQ110" s="53"/>
      <c r="AR110" s="65"/>
      <c r="AS110" s="65"/>
      <c r="AT110" s="65"/>
      <c r="AU110" s="65"/>
      <c r="AV110" s="65"/>
      <c r="AW110" s="53"/>
      <c r="AX110" s="65"/>
      <c r="AY110" s="53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53"/>
      <c r="BL110" s="65"/>
    </row>
    <row r="111" spans="1:64" ht="12.75">
      <c r="A111" s="63"/>
      <c r="B111" s="6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71"/>
      <c r="AD111" s="71"/>
      <c r="AE111" s="71"/>
      <c r="AF111" s="71"/>
      <c r="AG111" s="53"/>
      <c r="AH111" s="72"/>
      <c r="AI111" s="72"/>
      <c r="AJ111" s="72"/>
      <c r="AK111" s="72"/>
      <c r="AL111" s="72"/>
      <c r="AM111" s="72"/>
      <c r="AN111" s="72"/>
      <c r="AO111" s="65"/>
      <c r="AP111" s="65"/>
      <c r="AQ111" s="53"/>
      <c r="AR111" s="65"/>
      <c r="AS111" s="65"/>
      <c r="AT111" s="65"/>
      <c r="AU111" s="65"/>
      <c r="AV111" s="65"/>
      <c r="AW111" s="53"/>
      <c r="AX111" s="65"/>
      <c r="AY111" s="53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53"/>
      <c r="BL111" s="65"/>
    </row>
    <row r="112" spans="1:64" ht="12.75">
      <c r="A112" s="63"/>
      <c r="B112" s="6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71"/>
      <c r="AD112" s="71"/>
      <c r="AE112" s="71"/>
      <c r="AF112" s="71"/>
      <c r="AG112" s="53"/>
      <c r="AH112" s="72"/>
      <c r="AI112" s="72"/>
      <c r="AJ112" s="72"/>
      <c r="AK112" s="72"/>
      <c r="AL112" s="72"/>
      <c r="AM112" s="72"/>
      <c r="AN112" s="72"/>
      <c r="AO112" s="65"/>
      <c r="AP112" s="65"/>
      <c r="AQ112" s="53"/>
      <c r="AR112" s="65"/>
      <c r="AS112" s="65"/>
      <c r="AT112" s="65"/>
      <c r="AU112" s="65"/>
      <c r="AV112" s="65"/>
      <c r="AW112" s="53"/>
      <c r="AX112" s="65"/>
      <c r="AY112" s="53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53"/>
      <c r="BL112" s="65"/>
    </row>
    <row r="113" spans="1:64" ht="12.75">
      <c r="A113" s="63"/>
      <c r="B113" s="6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71"/>
      <c r="AD113" s="71"/>
      <c r="AE113" s="71"/>
      <c r="AF113" s="71"/>
      <c r="AG113" s="53"/>
      <c r="AH113" s="72"/>
      <c r="AI113" s="72"/>
      <c r="AJ113" s="72"/>
      <c r="AK113" s="72"/>
      <c r="AL113" s="72"/>
      <c r="AM113" s="72"/>
      <c r="AN113" s="72"/>
      <c r="AO113" s="65"/>
      <c r="AP113" s="65"/>
      <c r="AQ113" s="53"/>
      <c r="AR113" s="65"/>
      <c r="AS113" s="65"/>
      <c r="AT113" s="65"/>
      <c r="AU113" s="65"/>
      <c r="AV113" s="65"/>
      <c r="AW113" s="53"/>
      <c r="AX113" s="65"/>
      <c r="AY113" s="53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53"/>
      <c r="BL113" s="65"/>
    </row>
    <row r="114" spans="1:64" ht="12.75">
      <c r="A114" s="63"/>
      <c r="B114" s="6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71"/>
      <c r="AD114" s="71"/>
      <c r="AE114" s="71"/>
      <c r="AF114" s="71"/>
      <c r="AG114" s="53"/>
      <c r="AH114" s="72"/>
      <c r="AI114" s="72"/>
      <c r="AJ114" s="72"/>
      <c r="AK114" s="72"/>
      <c r="AL114" s="72"/>
      <c r="AM114" s="72"/>
      <c r="AN114" s="72"/>
      <c r="AO114" s="65"/>
      <c r="AP114" s="65"/>
      <c r="AQ114" s="53"/>
      <c r="AR114" s="65"/>
      <c r="AS114" s="65"/>
      <c r="AT114" s="65"/>
      <c r="AU114" s="65"/>
      <c r="AV114" s="65"/>
      <c r="AW114" s="53"/>
      <c r="AX114" s="65"/>
      <c r="AY114" s="53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53"/>
      <c r="BL114" s="65"/>
    </row>
    <row r="115" spans="1:63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98"/>
      <c r="AI115" s="98"/>
      <c r="AJ115" s="98"/>
      <c r="AK115" s="98"/>
      <c r="AL115" s="98"/>
      <c r="AM115" s="98"/>
      <c r="AN115" s="98"/>
      <c r="AO115" s="63"/>
      <c r="AP115" s="63"/>
      <c r="AQ115" s="63"/>
      <c r="AW115" s="63"/>
      <c r="AY115" s="63"/>
      <c r="BK115" s="63"/>
    </row>
    <row r="116" spans="1:63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98"/>
      <c r="AI116" s="98"/>
      <c r="AJ116" s="98"/>
      <c r="AK116" s="98"/>
      <c r="AL116" s="98"/>
      <c r="AM116" s="98"/>
      <c r="AN116" s="98"/>
      <c r="AO116" s="63"/>
      <c r="AP116" s="63"/>
      <c r="AQ116" s="63"/>
      <c r="AW116" s="63"/>
      <c r="AY116" s="63"/>
      <c r="BK116" s="63"/>
    </row>
    <row r="117" spans="1:63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98"/>
      <c r="AI117" s="98"/>
      <c r="AJ117" s="98"/>
      <c r="AK117" s="98"/>
      <c r="AL117" s="98"/>
      <c r="AM117" s="98"/>
      <c r="AN117" s="98"/>
      <c r="AO117" s="63"/>
      <c r="AP117" s="63"/>
      <c r="AQ117" s="63"/>
      <c r="AW117" s="63"/>
      <c r="AY117" s="63"/>
      <c r="BK117" s="63"/>
    </row>
    <row r="118" spans="1:63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98"/>
      <c r="AI118" s="98"/>
      <c r="AJ118" s="98"/>
      <c r="AK118" s="98"/>
      <c r="AL118" s="98"/>
      <c r="AM118" s="98"/>
      <c r="AN118" s="98"/>
      <c r="AO118" s="63"/>
      <c r="AP118" s="63"/>
      <c r="AQ118" s="63"/>
      <c r="AW118" s="63"/>
      <c r="AY118" s="63"/>
      <c r="BK118" s="63"/>
    </row>
    <row r="119" spans="1:63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98"/>
      <c r="AI119" s="98"/>
      <c r="AJ119" s="98"/>
      <c r="AK119" s="98"/>
      <c r="AL119" s="98"/>
      <c r="AM119" s="98"/>
      <c r="AN119" s="98"/>
      <c r="AO119" s="63"/>
      <c r="AP119" s="63"/>
      <c r="AQ119" s="63"/>
      <c r="AW119" s="63"/>
      <c r="AY119" s="63"/>
      <c r="BK119" s="63"/>
    </row>
    <row r="120" spans="1:63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98"/>
      <c r="AI120" s="98"/>
      <c r="AJ120" s="98"/>
      <c r="AK120" s="98"/>
      <c r="AL120" s="98"/>
      <c r="AM120" s="98"/>
      <c r="AN120" s="98"/>
      <c r="AO120" s="63"/>
      <c r="AP120" s="63"/>
      <c r="AQ120" s="63"/>
      <c r="AW120" s="63"/>
      <c r="AY120" s="63"/>
      <c r="BK120" s="63"/>
    </row>
    <row r="121" spans="1:63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98"/>
      <c r="AI121" s="98"/>
      <c r="AJ121" s="98"/>
      <c r="AK121" s="98"/>
      <c r="AL121" s="98"/>
      <c r="AM121" s="98"/>
      <c r="AN121" s="98"/>
      <c r="AO121" s="63"/>
      <c r="AP121" s="63"/>
      <c r="AQ121" s="63"/>
      <c r="AW121" s="63"/>
      <c r="AY121" s="63"/>
      <c r="BK121" s="63"/>
    </row>
    <row r="122" spans="1:63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98"/>
      <c r="AI122" s="98"/>
      <c r="AJ122" s="98"/>
      <c r="AK122" s="98"/>
      <c r="AL122" s="98"/>
      <c r="AM122" s="98"/>
      <c r="AN122" s="98"/>
      <c r="AO122" s="63"/>
      <c r="AP122" s="63"/>
      <c r="AQ122" s="63"/>
      <c r="AW122" s="63"/>
      <c r="AY122" s="63"/>
      <c r="BK122" s="63"/>
    </row>
    <row r="123" spans="1:63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98"/>
      <c r="AI123" s="98"/>
      <c r="AJ123" s="98"/>
      <c r="AK123" s="98"/>
      <c r="AL123" s="98"/>
      <c r="AM123" s="98"/>
      <c r="AN123" s="98"/>
      <c r="AO123" s="63"/>
      <c r="AP123" s="63"/>
      <c r="AQ123" s="63"/>
      <c r="AW123" s="63"/>
      <c r="AY123" s="63"/>
      <c r="BK123" s="63"/>
    </row>
    <row r="124" spans="1:63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98"/>
      <c r="AI124" s="98"/>
      <c r="AJ124" s="98"/>
      <c r="AK124" s="98"/>
      <c r="AL124" s="98"/>
      <c r="AM124" s="98"/>
      <c r="AN124" s="98"/>
      <c r="AO124" s="63"/>
      <c r="AP124" s="63"/>
      <c r="AQ124" s="63"/>
      <c r="AW124" s="63"/>
      <c r="AY124" s="63"/>
      <c r="BK124" s="63"/>
    </row>
    <row r="125" spans="1:63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98"/>
      <c r="AI125" s="98"/>
      <c r="AJ125" s="98"/>
      <c r="AK125" s="98"/>
      <c r="AL125" s="98"/>
      <c r="AM125" s="98"/>
      <c r="AN125" s="98"/>
      <c r="AO125" s="63"/>
      <c r="AP125" s="63"/>
      <c r="AQ125" s="63"/>
      <c r="AW125" s="63"/>
      <c r="AY125" s="63"/>
      <c r="BK125" s="63"/>
    </row>
    <row r="126" spans="1:63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98"/>
      <c r="AI126" s="98"/>
      <c r="AJ126" s="98"/>
      <c r="AK126" s="98"/>
      <c r="AL126" s="98"/>
      <c r="AM126" s="98"/>
      <c r="AN126" s="98"/>
      <c r="AO126" s="63"/>
      <c r="AP126" s="63"/>
      <c r="AQ126" s="63"/>
      <c r="AW126" s="63"/>
      <c r="AY126" s="63"/>
      <c r="BK126" s="63"/>
    </row>
    <row r="127" spans="1:63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98"/>
      <c r="AI127" s="98"/>
      <c r="AJ127" s="98"/>
      <c r="AK127" s="98"/>
      <c r="AL127" s="98"/>
      <c r="AM127" s="98"/>
      <c r="AN127" s="98"/>
      <c r="AO127" s="63"/>
      <c r="AP127" s="63"/>
      <c r="AQ127" s="63"/>
      <c r="AW127" s="63"/>
      <c r="AY127" s="63"/>
      <c r="BK127" s="63"/>
    </row>
    <row r="128" spans="1:63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98"/>
      <c r="AI128" s="98"/>
      <c r="AJ128" s="98"/>
      <c r="AK128" s="98"/>
      <c r="AL128" s="98"/>
      <c r="AM128" s="98"/>
      <c r="AN128" s="98"/>
      <c r="AO128" s="63"/>
      <c r="AP128" s="63"/>
      <c r="AQ128" s="63"/>
      <c r="AW128" s="63"/>
      <c r="AY128" s="63"/>
      <c r="BK128" s="63"/>
    </row>
    <row r="129" spans="1:63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98"/>
      <c r="AI129" s="98"/>
      <c r="AJ129" s="98"/>
      <c r="AK129" s="98"/>
      <c r="AL129" s="98"/>
      <c r="AM129" s="98"/>
      <c r="AN129" s="98"/>
      <c r="AO129" s="63"/>
      <c r="AP129" s="63"/>
      <c r="AQ129" s="63"/>
      <c r="AW129" s="63"/>
      <c r="AY129" s="63"/>
      <c r="BK129" s="63"/>
    </row>
    <row r="130" spans="1:63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98"/>
      <c r="AI130" s="98"/>
      <c r="AJ130" s="98"/>
      <c r="AK130" s="98"/>
      <c r="AL130" s="98"/>
      <c r="AM130" s="98"/>
      <c r="AN130" s="98"/>
      <c r="AO130" s="63"/>
      <c r="AP130" s="63"/>
      <c r="AQ130" s="63"/>
      <c r="AW130" s="63"/>
      <c r="AY130" s="63"/>
      <c r="BK130" s="63"/>
    </row>
    <row r="131" spans="1:63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98"/>
      <c r="AI131" s="98"/>
      <c r="AJ131" s="98"/>
      <c r="AK131" s="98"/>
      <c r="AL131" s="98"/>
      <c r="AM131" s="98"/>
      <c r="AN131" s="98"/>
      <c r="AO131" s="63"/>
      <c r="AP131" s="63"/>
      <c r="AQ131" s="63"/>
      <c r="AW131" s="63"/>
      <c r="AY131" s="63"/>
      <c r="BK131" s="63"/>
    </row>
  </sheetData>
  <printOptions/>
  <pageMargins left="0.75" right="0.75" top="0.5" bottom="0.5" header="0" footer="0.25"/>
  <pageSetup firstPageNumber="46" useFirstPageNumber="1" horizontalDpi="600" verticalDpi="600" orientation="portrait" scale="97" r:id="rId1"/>
  <headerFooter alignWithMargins="0">
    <oddFooter>&amp;C&amp;"Times New Roman,Regular"&amp;11&amp;P</oddFooter>
  </headerFooter>
  <colBreaks count="2" manualBreakCount="2">
    <brk id="22" max="93" man="1"/>
    <brk id="50" max="9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BM112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17.28125" style="96" customWidth="1"/>
    <col min="2" max="2" width="1.7109375" style="96" customWidth="1"/>
    <col min="3" max="3" width="12.7109375" style="96" customWidth="1"/>
    <col min="4" max="4" width="1.7109375" style="96" customWidth="1"/>
    <col min="5" max="5" width="12.7109375" style="96" customWidth="1"/>
    <col min="6" max="6" width="1.7109375" style="96" customWidth="1"/>
    <col min="7" max="7" width="12.7109375" style="96" customWidth="1"/>
    <col min="8" max="8" width="1.7109375" style="96" customWidth="1"/>
    <col min="9" max="9" width="12.7109375" style="96" customWidth="1"/>
    <col min="10" max="10" width="1.7109375" style="96" customWidth="1"/>
    <col min="11" max="11" width="12.7109375" style="96" customWidth="1"/>
    <col min="12" max="12" width="1.7109375" style="96" customWidth="1"/>
    <col min="13" max="13" width="12.7109375" style="96" customWidth="1"/>
    <col min="14" max="14" width="1.7109375" style="96" customWidth="1"/>
    <col min="15" max="15" width="12.7109375" style="96" customWidth="1"/>
    <col min="16" max="16" width="1.7109375" style="96" customWidth="1"/>
    <col min="17" max="17" width="12.7109375" style="96" customWidth="1"/>
    <col min="18" max="18" width="1.7109375" style="96" customWidth="1"/>
    <col min="19" max="19" width="12.7109375" style="96" customWidth="1"/>
    <col min="20" max="20" width="1.7109375" style="96" customWidth="1"/>
    <col min="21" max="21" width="12.7109375" style="96" customWidth="1"/>
    <col min="22" max="22" width="1.7109375" style="96" customWidth="1"/>
    <col min="23" max="23" width="15.7109375" style="96" customWidth="1"/>
    <col min="24" max="24" width="1.7109375" style="96" customWidth="1"/>
    <col min="25" max="25" width="12.7109375" style="96" customWidth="1"/>
    <col min="26" max="26" width="1.7109375" style="96" customWidth="1"/>
    <col min="27" max="27" width="12.7109375" style="96" customWidth="1"/>
    <col min="28" max="28" width="1.7109375" style="96" customWidth="1"/>
    <col min="29" max="29" width="12.7109375" style="96" customWidth="1"/>
    <col min="30" max="30" width="1.7109375" style="96" customWidth="1"/>
    <col min="31" max="31" width="12.7109375" style="96" customWidth="1"/>
    <col min="32" max="32" width="1.7109375" style="99" customWidth="1"/>
    <col min="33" max="33" width="12.7109375" style="99" customWidth="1"/>
    <col min="34" max="34" width="1.7109375" style="99" customWidth="1"/>
    <col min="35" max="35" width="12.7109375" style="99" customWidth="1"/>
    <col min="36" max="36" width="1.7109375" style="99" customWidth="1"/>
    <col min="37" max="37" width="12.7109375" style="99" customWidth="1"/>
    <col min="38" max="38" width="1.7109375" style="99" customWidth="1"/>
    <col min="39" max="39" width="12.7109375" style="69" customWidth="1"/>
    <col min="40" max="40" width="1.7109375" style="69" customWidth="1"/>
    <col min="41" max="41" width="12.7109375" style="96" customWidth="1"/>
    <col min="42" max="42" width="1.7109375" style="69" customWidth="1"/>
    <col min="43" max="43" width="10.7109375" style="69" hidden="1" customWidth="1"/>
    <col min="44" max="44" width="1.7109375" style="69" hidden="1" customWidth="1"/>
    <col min="45" max="45" width="10.7109375" style="69" hidden="1" customWidth="1"/>
    <col min="46" max="46" width="1.7109375" style="69" hidden="1" customWidth="1"/>
    <col min="47" max="47" width="12.7109375" style="96" customWidth="1"/>
    <col min="48" max="48" width="1.7109375" style="69" customWidth="1"/>
    <col min="49" max="49" width="15.7109375" style="69" customWidth="1"/>
    <col min="50" max="50" width="1.7109375" style="69" customWidth="1"/>
    <col min="51" max="51" width="12.7109375" style="69" customWidth="1"/>
    <col min="52" max="52" width="1.7109375" style="69" customWidth="1"/>
    <col min="53" max="53" width="12.7109375" style="69" customWidth="1"/>
    <col min="54" max="54" width="1.7109375" style="69" customWidth="1"/>
    <col min="55" max="55" width="12.7109375" style="69" customWidth="1"/>
    <col min="56" max="56" width="1.7109375" style="69" customWidth="1"/>
    <col min="57" max="57" width="12.7109375" style="69" customWidth="1"/>
    <col min="58" max="58" width="1.7109375" style="69" customWidth="1"/>
    <col min="59" max="59" width="12.7109375" style="96" customWidth="1"/>
    <col min="60" max="60" width="9.140625" style="69" bestFit="1" customWidth="1"/>
    <col min="61" max="16384" width="8.421875" style="69" customWidth="1"/>
  </cols>
  <sheetData>
    <row r="1" spans="1:60" s="93" customFormat="1" ht="12.75">
      <c r="A1" s="90" t="s">
        <v>201</v>
      </c>
      <c r="B1" s="94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8" t="s">
        <v>199</v>
      </c>
      <c r="X1" s="89"/>
      <c r="Y1" s="89"/>
      <c r="Z1" s="89"/>
      <c r="AA1" s="72"/>
      <c r="AB1" s="72"/>
      <c r="AC1" s="72"/>
      <c r="AD1" s="72"/>
      <c r="AE1" s="89"/>
      <c r="AF1" s="72"/>
      <c r="AG1" s="72"/>
      <c r="AH1" s="72"/>
      <c r="AI1" s="72"/>
      <c r="AJ1" s="72"/>
      <c r="AK1" s="72"/>
      <c r="AL1" s="72"/>
      <c r="AM1" s="92"/>
      <c r="AN1" s="92"/>
      <c r="AO1" s="89"/>
      <c r="AP1" s="92"/>
      <c r="AQ1" s="92"/>
      <c r="AR1" s="92"/>
      <c r="AS1" s="92"/>
      <c r="AT1" s="92"/>
      <c r="AU1" s="89"/>
      <c r="AV1" s="92"/>
      <c r="AW1" s="90" t="s">
        <v>199</v>
      </c>
      <c r="AX1" s="92"/>
      <c r="AY1" s="92"/>
      <c r="AZ1" s="92"/>
      <c r="BA1" s="92"/>
      <c r="BB1" s="92"/>
      <c r="BC1" s="92"/>
      <c r="BD1" s="92"/>
      <c r="BE1" s="92"/>
      <c r="BF1" s="92"/>
      <c r="BG1" s="89"/>
      <c r="BH1" s="92"/>
    </row>
    <row r="2" spans="1:65" s="93" customFormat="1" ht="12.75">
      <c r="A2" s="43" t="s">
        <v>262</v>
      </c>
      <c r="B2" s="90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43" t="s">
        <v>207</v>
      </c>
      <c r="X2" s="89"/>
      <c r="Z2" s="89"/>
      <c r="AA2" s="89"/>
      <c r="AB2" s="89"/>
      <c r="AC2" s="72"/>
      <c r="AD2" s="72"/>
      <c r="AE2" s="72"/>
      <c r="AF2" s="72"/>
      <c r="AG2" s="89"/>
      <c r="AH2" s="72"/>
      <c r="AI2" s="72"/>
      <c r="AJ2" s="72"/>
      <c r="AK2" s="72"/>
      <c r="AL2" s="72"/>
      <c r="AM2" s="72"/>
      <c r="AN2" s="72"/>
      <c r="AO2" s="92"/>
      <c r="AP2" s="92"/>
      <c r="AQ2" s="89"/>
      <c r="AR2" s="92"/>
      <c r="AS2" s="92"/>
      <c r="AT2" s="92"/>
      <c r="AU2" s="92"/>
      <c r="AV2" s="92"/>
      <c r="AW2" s="90" t="s">
        <v>102</v>
      </c>
      <c r="AX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89"/>
      <c r="BL2" s="92"/>
      <c r="BM2" s="92"/>
    </row>
    <row r="3" spans="1:60" s="93" customFormat="1" ht="12.75">
      <c r="A3" s="43" t="s">
        <v>247</v>
      </c>
      <c r="B3" s="94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36" t="s">
        <v>246</v>
      </c>
      <c r="X3" s="89"/>
      <c r="Y3" s="89"/>
      <c r="Z3" s="89"/>
      <c r="AA3" s="72"/>
      <c r="AB3" s="72"/>
      <c r="AC3" s="72"/>
      <c r="AD3" s="72"/>
      <c r="AE3" s="89"/>
      <c r="AF3" s="72"/>
      <c r="AG3" s="72"/>
      <c r="AH3" s="72"/>
      <c r="AI3" s="72"/>
      <c r="AJ3" s="72"/>
      <c r="AK3" s="72"/>
      <c r="AL3" s="72"/>
      <c r="AM3" s="92"/>
      <c r="AN3" s="92"/>
      <c r="AO3" s="89"/>
      <c r="AP3" s="92"/>
      <c r="AQ3" s="92"/>
      <c r="AR3" s="92"/>
      <c r="AS3" s="92"/>
      <c r="AT3" s="92"/>
      <c r="AU3" s="89"/>
      <c r="AV3" s="92"/>
      <c r="AW3" s="43" t="s">
        <v>245</v>
      </c>
      <c r="AX3" s="92"/>
      <c r="AY3" s="92"/>
      <c r="AZ3" s="92"/>
      <c r="BA3" s="92"/>
      <c r="BB3" s="92"/>
      <c r="BC3" s="92"/>
      <c r="BD3" s="92"/>
      <c r="BE3" s="92"/>
      <c r="BF3" s="92"/>
      <c r="BG3" s="89"/>
      <c r="BH3" s="92"/>
    </row>
    <row r="4" spans="1:60" ht="12.75">
      <c r="A4" s="36" t="s">
        <v>187</v>
      </c>
      <c r="B4" s="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36" t="s">
        <v>187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36" t="s">
        <v>187</v>
      </c>
      <c r="AX4" s="9"/>
      <c r="BF4" s="30"/>
      <c r="BG4" s="9"/>
      <c r="BH4" s="65"/>
    </row>
    <row r="5" spans="1:60" ht="12.75">
      <c r="A5" s="36"/>
      <c r="B5" s="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6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36"/>
      <c r="AX5" s="9"/>
      <c r="BF5" s="30"/>
      <c r="BG5" s="9"/>
      <c r="BH5" s="65"/>
    </row>
    <row r="6" spans="1:60" ht="12.75">
      <c r="A6" s="36"/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9" t="s">
        <v>138</v>
      </c>
      <c r="P6" s="29"/>
      <c r="Q6" s="29"/>
      <c r="R6" s="29"/>
      <c r="S6" s="29"/>
      <c r="T6" s="29"/>
      <c r="U6" s="29"/>
      <c r="V6" s="9"/>
      <c r="W6" s="36"/>
      <c r="X6" s="9"/>
      <c r="Y6" s="9"/>
      <c r="Z6" s="9"/>
      <c r="AA6" s="9"/>
      <c r="AB6" s="9"/>
      <c r="AC6" s="9"/>
      <c r="AD6" s="9"/>
      <c r="AE6" s="30"/>
      <c r="AF6" s="9"/>
      <c r="AG6" s="9"/>
      <c r="AH6" s="9"/>
      <c r="AI6" s="9"/>
      <c r="AJ6" s="9"/>
      <c r="AK6" s="9"/>
      <c r="AL6" s="9"/>
      <c r="AM6" s="9"/>
      <c r="AN6" s="9"/>
      <c r="AO6" s="30"/>
      <c r="AP6" s="9"/>
      <c r="AQ6" s="9"/>
      <c r="AR6" s="9"/>
      <c r="AS6" s="9"/>
      <c r="AT6" s="9"/>
      <c r="AU6" s="30"/>
      <c r="AV6" s="9"/>
      <c r="AW6" s="36"/>
      <c r="AX6" s="9"/>
      <c r="AY6" s="29" t="s">
        <v>102</v>
      </c>
      <c r="AZ6" s="29"/>
      <c r="BA6" s="29"/>
      <c r="BB6" s="29"/>
      <c r="BC6" s="29"/>
      <c r="BD6" s="29"/>
      <c r="BE6" s="29"/>
      <c r="BF6" s="29"/>
      <c r="BG6" s="29"/>
      <c r="BH6" s="65"/>
    </row>
    <row r="7" spans="1:60" ht="12.75">
      <c r="A7" s="95"/>
      <c r="B7" s="3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U7" s="9" t="s">
        <v>4</v>
      </c>
      <c r="V7" s="30"/>
      <c r="W7" s="95"/>
      <c r="X7" s="30"/>
      <c r="Y7" s="9"/>
      <c r="Z7" s="9"/>
      <c r="AA7" s="9"/>
      <c r="AB7" s="9"/>
      <c r="AC7" s="9"/>
      <c r="AD7" s="9"/>
      <c r="AE7" s="9"/>
      <c r="AF7" s="9"/>
      <c r="AG7" s="9" t="s">
        <v>158</v>
      </c>
      <c r="AH7" s="9"/>
      <c r="AI7" s="9"/>
      <c r="AJ7" s="9"/>
      <c r="AK7" s="9"/>
      <c r="AL7" s="9"/>
      <c r="AM7" s="9"/>
      <c r="AN7" s="9"/>
      <c r="AO7" s="9"/>
      <c r="AP7" s="9"/>
      <c r="AQ7" s="9" t="s">
        <v>155</v>
      </c>
      <c r="AR7" s="9"/>
      <c r="AS7" s="9" t="s">
        <v>155</v>
      </c>
      <c r="AT7" s="9"/>
      <c r="AU7" s="9"/>
      <c r="AV7" s="9"/>
      <c r="AW7" s="95"/>
      <c r="AX7" s="9"/>
      <c r="AY7" s="9" t="s">
        <v>103</v>
      </c>
      <c r="AZ7" s="9"/>
      <c r="BA7" s="9" t="s">
        <v>104</v>
      </c>
      <c r="BB7" s="9"/>
      <c r="BC7" s="9"/>
      <c r="BD7" s="9"/>
      <c r="BE7" s="9" t="s">
        <v>105</v>
      </c>
      <c r="BF7" s="9"/>
      <c r="BG7" s="9" t="s">
        <v>4</v>
      </c>
      <c r="BH7" s="65"/>
    </row>
    <row r="8" spans="1:60" ht="12.75">
      <c r="A8" s="95"/>
      <c r="B8" s="9"/>
      <c r="C8" s="9" t="s">
        <v>135</v>
      </c>
      <c r="D8" s="9"/>
      <c r="E8" s="9" t="s">
        <v>156</v>
      </c>
      <c r="F8" s="9"/>
      <c r="G8" s="9" t="s">
        <v>4</v>
      </c>
      <c r="H8" s="9"/>
      <c r="I8" s="9" t="s">
        <v>135</v>
      </c>
      <c r="J8" s="9"/>
      <c r="K8" s="9" t="s">
        <v>156</v>
      </c>
      <c r="L8" s="9"/>
      <c r="M8" s="9" t="s">
        <v>4</v>
      </c>
      <c r="N8" s="9"/>
      <c r="O8" s="9" t="s">
        <v>139</v>
      </c>
      <c r="P8" s="9"/>
      <c r="Q8" s="9"/>
      <c r="R8" s="9"/>
      <c r="S8" s="9"/>
      <c r="T8" s="9"/>
      <c r="U8" s="9" t="s">
        <v>240</v>
      </c>
      <c r="V8" s="9"/>
      <c r="W8" s="95"/>
      <c r="X8" s="9"/>
      <c r="Y8" s="9" t="s">
        <v>101</v>
      </c>
      <c r="Z8" s="9"/>
      <c r="AA8" s="9" t="s">
        <v>157</v>
      </c>
      <c r="AB8" s="9"/>
      <c r="AC8" s="9"/>
      <c r="AD8" s="9"/>
      <c r="AE8" s="9" t="s">
        <v>101</v>
      </c>
      <c r="AF8" s="9"/>
      <c r="AG8" s="9" t="s">
        <v>12</v>
      </c>
      <c r="AH8" s="9"/>
      <c r="AI8" s="9"/>
      <c r="AJ8" s="9"/>
      <c r="AK8" s="9"/>
      <c r="AL8" s="9"/>
      <c r="AM8" s="9" t="s">
        <v>87</v>
      </c>
      <c r="AN8" s="9"/>
      <c r="AO8" s="9" t="s">
        <v>239</v>
      </c>
      <c r="AP8" s="9"/>
      <c r="AQ8" s="9" t="s">
        <v>159</v>
      </c>
      <c r="AR8" s="9"/>
      <c r="AS8" s="9" t="s">
        <v>159</v>
      </c>
      <c r="AT8" s="9"/>
      <c r="AU8" s="9" t="s">
        <v>106</v>
      </c>
      <c r="AV8" s="9"/>
      <c r="AW8" s="95"/>
      <c r="AX8" s="9"/>
      <c r="AY8" s="9" t="s">
        <v>107</v>
      </c>
      <c r="AZ8" s="9"/>
      <c r="BA8" s="9" t="s">
        <v>12</v>
      </c>
      <c r="BB8" s="9"/>
      <c r="BC8" s="9"/>
      <c r="BD8" s="9"/>
      <c r="BE8" s="9" t="s">
        <v>108</v>
      </c>
      <c r="BF8" s="9"/>
      <c r="BG8" s="9" t="s">
        <v>108</v>
      </c>
      <c r="BH8" s="65"/>
    </row>
    <row r="9" spans="1:60" ht="12.75">
      <c r="A9" s="97" t="s">
        <v>5</v>
      </c>
      <c r="B9" s="69"/>
      <c r="C9" s="40" t="s">
        <v>116</v>
      </c>
      <c r="D9" s="69"/>
      <c r="E9" s="40" t="s">
        <v>116</v>
      </c>
      <c r="F9" s="69"/>
      <c r="G9" s="40" t="s">
        <v>116</v>
      </c>
      <c r="H9" s="69"/>
      <c r="I9" s="40" t="s">
        <v>122</v>
      </c>
      <c r="J9" s="69"/>
      <c r="K9" s="40" t="s">
        <v>122</v>
      </c>
      <c r="L9" s="69"/>
      <c r="M9" s="40" t="s">
        <v>122</v>
      </c>
      <c r="N9" s="69"/>
      <c r="O9" s="40" t="s">
        <v>141</v>
      </c>
      <c r="P9" s="69"/>
      <c r="Q9" s="40" t="s">
        <v>142</v>
      </c>
      <c r="R9" s="69"/>
      <c r="S9" s="40" t="s">
        <v>143</v>
      </c>
      <c r="T9" s="69"/>
      <c r="U9" s="40" t="s">
        <v>116</v>
      </c>
      <c r="V9" s="69"/>
      <c r="W9" s="97" t="s">
        <v>5</v>
      </c>
      <c r="X9" s="69"/>
      <c r="Y9" s="40" t="s">
        <v>12</v>
      </c>
      <c r="Z9" s="69"/>
      <c r="AA9" s="40" t="s">
        <v>109</v>
      </c>
      <c r="AB9" s="69"/>
      <c r="AC9" s="40" t="s">
        <v>109</v>
      </c>
      <c r="AD9" s="69"/>
      <c r="AE9" s="40" t="s">
        <v>110</v>
      </c>
      <c r="AF9" s="69"/>
      <c r="AG9" s="40" t="s">
        <v>238</v>
      </c>
      <c r="AH9" s="69"/>
      <c r="AI9" s="40" t="s">
        <v>111</v>
      </c>
      <c r="AJ9" s="69"/>
      <c r="AK9" s="40" t="s">
        <v>112</v>
      </c>
      <c r="AL9" s="69"/>
      <c r="AM9" s="40" t="s">
        <v>161</v>
      </c>
      <c r="AO9" s="40" t="s">
        <v>138</v>
      </c>
      <c r="AQ9" s="40" t="s">
        <v>162</v>
      </c>
      <c r="AS9" s="40" t="s">
        <v>163</v>
      </c>
      <c r="AU9" s="40" t="s">
        <v>87</v>
      </c>
      <c r="AW9" s="97" t="s">
        <v>5</v>
      </c>
      <c r="AY9" s="40" t="s">
        <v>113</v>
      </c>
      <c r="BA9" s="40" t="s">
        <v>113</v>
      </c>
      <c r="BC9" s="40" t="s">
        <v>114</v>
      </c>
      <c r="BE9" s="40" t="s">
        <v>115</v>
      </c>
      <c r="BG9" s="40" t="s">
        <v>122</v>
      </c>
      <c r="BH9" s="65"/>
    </row>
    <row r="10" spans="1:60" ht="12.75" hidden="1">
      <c r="A10" s="63" t="s">
        <v>13</v>
      </c>
      <c r="B10" s="79"/>
      <c r="C10" s="17">
        <f>G10-E10</f>
        <v>0</v>
      </c>
      <c r="D10" s="17"/>
      <c r="E10" s="17">
        <v>0</v>
      </c>
      <c r="F10" s="17"/>
      <c r="G10" s="17">
        <v>0</v>
      </c>
      <c r="H10" s="17"/>
      <c r="I10" s="17">
        <f>M10-K10</f>
        <v>0</v>
      </c>
      <c r="J10" s="17"/>
      <c r="K10" s="17">
        <f>SUM(BG10)</f>
        <v>0</v>
      </c>
      <c r="L10" s="17"/>
      <c r="M10" s="17">
        <v>0</v>
      </c>
      <c r="N10" s="17"/>
      <c r="O10" s="17">
        <v>0</v>
      </c>
      <c r="P10" s="17"/>
      <c r="Q10" s="17">
        <v>0</v>
      </c>
      <c r="R10" s="17"/>
      <c r="S10" s="17">
        <v>0</v>
      </c>
      <c r="T10" s="17"/>
      <c r="U10" s="17">
        <f>SUM(O10:S10)</f>
        <v>0</v>
      </c>
      <c r="V10" s="79"/>
      <c r="W10" s="63" t="s">
        <v>13</v>
      </c>
      <c r="X10" s="79"/>
      <c r="Y10" s="1">
        <v>0</v>
      </c>
      <c r="Z10" s="1"/>
      <c r="AA10" s="1">
        <v>0</v>
      </c>
      <c r="AB10" s="1"/>
      <c r="AC10" s="1">
        <v>0</v>
      </c>
      <c r="AD10" s="1"/>
      <c r="AE10" s="17">
        <f>+Y10-AA10-AC10</f>
        <v>0</v>
      </c>
      <c r="AF10" s="21"/>
      <c r="AG10" s="21">
        <v>0</v>
      </c>
      <c r="AH10" s="21"/>
      <c r="AI10" s="1">
        <v>0</v>
      </c>
      <c r="AJ10" s="1"/>
      <c r="AK10" s="1">
        <v>0</v>
      </c>
      <c r="AL10" s="1"/>
      <c r="AM10" s="1">
        <v>0</v>
      </c>
      <c r="AN10" s="1"/>
      <c r="AO10" s="17">
        <f>+AE10+AG10+AI10-AK10+AM10</f>
        <v>0</v>
      </c>
      <c r="AP10" s="21"/>
      <c r="AQ10" s="1">
        <v>0</v>
      </c>
      <c r="AR10" s="1"/>
      <c r="AS10" s="1">
        <v>0</v>
      </c>
      <c r="AT10" s="1"/>
      <c r="AU10" s="17">
        <f>+C10-I10</f>
        <v>0</v>
      </c>
      <c r="AV10" s="79"/>
      <c r="AW10" s="63" t="s">
        <v>13</v>
      </c>
      <c r="AX10" s="79"/>
      <c r="AY10" s="1">
        <v>0</v>
      </c>
      <c r="AZ10" s="1"/>
      <c r="BA10" s="1">
        <v>0</v>
      </c>
      <c r="BB10" s="1"/>
      <c r="BC10" s="1">
        <v>0</v>
      </c>
      <c r="BD10" s="1"/>
      <c r="BE10" s="1">
        <v>0</v>
      </c>
      <c r="BF10" s="1"/>
      <c r="BG10" s="17">
        <f>SUM(AY10:BE10)</f>
        <v>0</v>
      </c>
      <c r="BH10" s="65"/>
    </row>
    <row r="11" spans="1:60" ht="12.75" hidden="1">
      <c r="A11" s="63"/>
      <c r="B11" s="79"/>
      <c r="C11" s="17">
        <f>G11-E11</f>
        <v>0</v>
      </c>
      <c r="D11" s="17"/>
      <c r="E11" s="17">
        <v>0</v>
      </c>
      <c r="F11" s="17"/>
      <c r="G11" s="17">
        <v>0</v>
      </c>
      <c r="H11" s="17"/>
      <c r="I11" s="17">
        <f aca="true" t="shared" si="0" ref="I11:I75">M11-K11</f>
        <v>0</v>
      </c>
      <c r="J11" s="17"/>
      <c r="K11" s="17">
        <f aca="true" t="shared" si="1" ref="K11:K75">SUM(BG11)</f>
        <v>0</v>
      </c>
      <c r="L11" s="17"/>
      <c r="M11" s="17">
        <v>0</v>
      </c>
      <c r="N11" s="17"/>
      <c r="O11" s="17">
        <v>0</v>
      </c>
      <c r="P11" s="17"/>
      <c r="Q11" s="17">
        <v>0</v>
      </c>
      <c r="R11" s="17"/>
      <c r="S11" s="17">
        <v>0</v>
      </c>
      <c r="T11" s="17"/>
      <c r="U11" s="17">
        <f aca="true" t="shared" si="2" ref="U11:U75">SUM(O11:S11)</f>
        <v>0</v>
      </c>
      <c r="V11" s="79"/>
      <c r="W11" s="63"/>
      <c r="X11" s="79"/>
      <c r="Y11" s="1">
        <v>0</v>
      </c>
      <c r="Z11" s="1"/>
      <c r="AA11" s="1">
        <v>0</v>
      </c>
      <c r="AB11" s="1"/>
      <c r="AC11" s="1">
        <v>0</v>
      </c>
      <c r="AD11" s="1"/>
      <c r="AE11" s="17">
        <f aca="true" t="shared" si="3" ref="AE11:AE75">+Y11-AA11-AC11</f>
        <v>0</v>
      </c>
      <c r="AF11" s="21"/>
      <c r="AG11" s="21">
        <v>0</v>
      </c>
      <c r="AH11" s="21"/>
      <c r="AI11" s="1">
        <v>0</v>
      </c>
      <c r="AJ11" s="1"/>
      <c r="AK11" s="1">
        <v>0</v>
      </c>
      <c r="AL11" s="1"/>
      <c r="AM11" s="1">
        <v>0</v>
      </c>
      <c r="AN11" s="1"/>
      <c r="AO11" s="17">
        <f aca="true" t="shared" si="4" ref="AO11:AO75">+AE11+AG11+AI11-AK11+AM11</f>
        <v>0</v>
      </c>
      <c r="AP11" s="21"/>
      <c r="AQ11" s="1">
        <v>0</v>
      </c>
      <c r="AR11" s="1"/>
      <c r="AS11" s="1">
        <v>0</v>
      </c>
      <c r="AT11" s="1"/>
      <c r="AU11" s="17">
        <f aca="true" t="shared" si="5" ref="AU11:AU75">+C11-I11</f>
        <v>0</v>
      </c>
      <c r="AV11" s="79"/>
      <c r="AW11" s="63"/>
      <c r="AX11" s="79"/>
      <c r="AY11" s="1">
        <v>0</v>
      </c>
      <c r="AZ11" s="1"/>
      <c r="BA11" s="1">
        <v>0</v>
      </c>
      <c r="BB11" s="1"/>
      <c r="BC11" s="1">
        <v>0</v>
      </c>
      <c r="BD11" s="1"/>
      <c r="BE11" s="1">
        <v>0</v>
      </c>
      <c r="BF11" s="1"/>
      <c r="BG11" s="17">
        <f>SUM(AY11:BE11)</f>
        <v>0</v>
      </c>
      <c r="BH11" s="65"/>
    </row>
    <row r="12" spans="1:60" ht="12.75" hidden="1">
      <c r="A12" s="63" t="s">
        <v>13</v>
      </c>
      <c r="B12" s="79"/>
      <c r="C12" s="17">
        <f aca="true" t="shared" si="6" ref="C12:C27">G12-E12</f>
        <v>0</v>
      </c>
      <c r="D12" s="17"/>
      <c r="E12" s="17">
        <v>0</v>
      </c>
      <c r="F12" s="17"/>
      <c r="G12" s="17">
        <v>0</v>
      </c>
      <c r="H12" s="17"/>
      <c r="I12" s="17">
        <f aca="true" t="shared" si="7" ref="I12:I27">M12-K12</f>
        <v>0</v>
      </c>
      <c r="J12" s="17"/>
      <c r="K12" s="17">
        <f aca="true" t="shared" si="8" ref="K12:K27">SUM(BG12)</f>
        <v>0</v>
      </c>
      <c r="L12" s="17"/>
      <c r="M12" s="17">
        <v>0</v>
      </c>
      <c r="N12" s="17"/>
      <c r="O12" s="17">
        <v>0</v>
      </c>
      <c r="P12" s="17"/>
      <c r="Q12" s="17">
        <v>0</v>
      </c>
      <c r="R12" s="17"/>
      <c r="S12" s="17">
        <v>0</v>
      </c>
      <c r="T12" s="17"/>
      <c r="U12" s="17">
        <f aca="true" t="shared" si="9" ref="U12:U27">SUM(O12:S12)</f>
        <v>0</v>
      </c>
      <c r="V12" s="79"/>
      <c r="W12" s="63" t="s">
        <v>13</v>
      </c>
      <c r="X12" s="79"/>
      <c r="Y12" s="1">
        <v>0</v>
      </c>
      <c r="Z12" s="1"/>
      <c r="AA12" s="1">
        <v>0</v>
      </c>
      <c r="AB12" s="1"/>
      <c r="AC12" s="1">
        <v>0</v>
      </c>
      <c r="AD12" s="1"/>
      <c r="AE12" s="17">
        <f aca="true" t="shared" si="10" ref="AE12:AE27">+Y12-AA12-AC12</f>
        <v>0</v>
      </c>
      <c r="AF12" s="21"/>
      <c r="AG12" s="21">
        <v>0</v>
      </c>
      <c r="AH12" s="21"/>
      <c r="AI12" s="1">
        <v>0</v>
      </c>
      <c r="AJ12" s="1"/>
      <c r="AK12" s="1">
        <v>0</v>
      </c>
      <c r="AL12" s="1"/>
      <c r="AM12" s="1">
        <v>0</v>
      </c>
      <c r="AN12" s="1"/>
      <c r="AO12" s="17">
        <f aca="true" t="shared" si="11" ref="AO12:AO27">+AE12+AG12+AI12-AK12+AM12</f>
        <v>0</v>
      </c>
      <c r="AP12" s="21"/>
      <c r="AQ12" s="1"/>
      <c r="AR12" s="1"/>
      <c r="AS12" s="1"/>
      <c r="AT12" s="1"/>
      <c r="AU12" s="17">
        <f aca="true" t="shared" si="12" ref="AU12:AU27">+C12-I12</f>
        <v>0</v>
      </c>
      <c r="AV12" s="79"/>
      <c r="AW12" s="63" t="s">
        <v>13</v>
      </c>
      <c r="AX12" s="79"/>
      <c r="AY12" s="1">
        <v>0</v>
      </c>
      <c r="AZ12" s="1"/>
      <c r="BA12" s="1">
        <v>0</v>
      </c>
      <c r="BB12" s="1"/>
      <c r="BC12" s="1">
        <v>0</v>
      </c>
      <c r="BD12" s="1"/>
      <c r="BE12" s="1">
        <v>0</v>
      </c>
      <c r="BF12" s="1"/>
      <c r="BG12" s="17">
        <f>SUM(AY12:BE12)</f>
        <v>0</v>
      </c>
      <c r="BH12" s="65"/>
    </row>
    <row r="13" spans="1:60" s="102" customFormat="1" ht="12.75">
      <c r="A13" s="66" t="s">
        <v>14</v>
      </c>
      <c r="B13" s="100"/>
      <c r="C13" s="60">
        <f t="shared" si="6"/>
        <v>1049836</v>
      </c>
      <c r="D13" s="60"/>
      <c r="E13" s="60">
        <v>88560</v>
      </c>
      <c r="F13" s="60"/>
      <c r="G13" s="60">
        <v>1138396</v>
      </c>
      <c r="H13" s="60"/>
      <c r="I13" s="60">
        <f t="shared" si="7"/>
        <v>6388</v>
      </c>
      <c r="J13" s="60"/>
      <c r="K13" s="60">
        <f t="shared" si="8"/>
        <v>1837242</v>
      </c>
      <c r="L13" s="60"/>
      <c r="M13" s="60">
        <v>1843630</v>
      </c>
      <c r="N13" s="60"/>
      <c r="O13" s="60">
        <v>88560</v>
      </c>
      <c r="P13" s="60"/>
      <c r="Q13" s="60">
        <v>0</v>
      </c>
      <c r="R13" s="60"/>
      <c r="S13" s="60">
        <v>-793794</v>
      </c>
      <c r="T13" s="60"/>
      <c r="U13" s="17">
        <f t="shared" si="9"/>
        <v>-705234</v>
      </c>
      <c r="V13" s="60"/>
      <c r="W13" s="66" t="s">
        <v>14</v>
      </c>
      <c r="X13" s="60"/>
      <c r="Y13" s="60">
        <v>299247</v>
      </c>
      <c r="Z13" s="67"/>
      <c r="AA13" s="60">
        <f>301447-7670</f>
        <v>293777</v>
      </c>
      <c r="AB13" s="67"/>
      <c r="AC13" s="60">
        <v>7670</v>
      </c>
      <c r="AD13" s="67"/>
      <c r="AE13" s="60">
        <f t="shared" si="10"/>
        <v>-2200</v>
      </c>
      <c r="AF13" s="41"/>
      <c r="AG13" s="60">
        <v>0</v>
      </c>
      <c r="AH13" s="41"/>
      <c r="AI13" s="60">
        <v>0</v>
      </c>
      <c r="AJ13" s="67"/>
      <c r="AK13" s="60">
        <v>7500</v>
      </c>
      <c r="AL13" s="67"/>
      <c r="AM13" s="67">
        <v>0</v>
      </c>
      <c r="AN13" s="67"/>
      <c r="AO13" s="67">
        <f t="shared" si="11"/>
        <v>-9700</v>
      </c>
      <c r="AP13" s="41"/>
      <c r="AQ13" s="67">
        <v>0</v>
      </c>
      <c r="AR13" s="67"/>
      <c r="AS13" s="67">
        <v>0</v>
      </c>
      <c r="AT13" s="67"/>
      <c r="AU13" s="67">
        <f t="shared" si="12"/>
        <v>1043448</v>
      </c>
      <c r="AV13" s="67"/>
      <c r="AW13" s="66" t="s">
        <v>14</v>
      </c>
      <c r="AX13" s="67"/>
      <c r="AY13" s="67">
        <v>0</v>
      </c>
      <c r="AZ13" s="67"/>
      <c r="BA13" s="67">
        <v>0</v>
      </c>
      <c r="BB13" s="67"/>
      <c r="BC13" s="67">
        <v>0</v>
      </c>
      <c r="BD13" s="67"/>
      <c r="BE13" s="67">
        <f>28899+1094+1807249</f>
        <v>1837242</v>
      </c>
      <c r="BF13" s="67"/>
      <c r="BG13" s="67">
        <f>SUM(AY13:BE13)</f>
        <v>1837242</v>
      </c>
      <c r="BH13" s="101"/>
    </row>
    <row r="14" spans="1:60" ht="12.75" hidden="1">
      <c r="A14" s="63" t="s">
        <v>15</v>
      </c>
      <c r="B14" s="79"/>
      <c r="C14" s="17">
        <f t="shared" si="6"/>
        <v>0</v>
      </c>
      <c r="D14" s="17"/>
      <c r="E14" s="17">
        <v>0</v>
      </c>
      <c r="F14" s="17"/>
      <c r="G14" s="17">
        <v>0</v>
      </c>
      <c r="H14" s="17"/>
      <c r="I14" s="17">
        <f t="shared" si="7"/>
        <v>0</v>
      </c>
      <c r="J14" s="17"/>
      <c r="K14" s="17">
        <f t="shared" si="8"/>
        <v>0</v>
      </c>
      <c r="L14" s="17"/>
      <c r="M14" s="17">
        <v>0</v>
      </c>
      <c r="N14" s="17"/>
      <c r="O14" s="17">
        <v>0</v>
      </c>
      <c r="P14" s="17"/>
      <c r="Q14" s="17">
        <v>0</v>
      </c>
      <c r="R14" s="17"/>
      <c r="S14" s="17">
        <v>0</v>
      </c>
      <c r="T14" s="17"/>
      <c r="U14" s="17">
        <f t="shared" si="9"/>
        <v>0</v>
      </c>
      <c r="V14" s="79"/>
      <c r="W14" s="68" t="s">
        <v>15</v>
      </c>
      <c r="X14" s="79"/>
      <c r="Y14" s="17">
        <v>0</v>
      </c>
      <c r="Z14" s="1"/>
      <c r="AA14" s="17">
        <v>0</v>
      </c>
      <c r="AB14" s="1"/>
      <c r="AC14" s="17">
        <v>0</v>
      </c>
      <c r="AD14" s="1"/>
      <c r="AE14" s="17">
        <f t="shared" si="10"/>
        <v>0</v>
      </c>
      <c r="AF14" s="21"/>
      <c r="AG14" s="17">
        <v>0</v>
      </c>
      <c r="AH14" s="21"/>
      <c r="AI14" s="17">
        <v>0</v>
      </c>
      <c r="AJ14" s="1"/>
      <c r="AK14" s="17">
        <v>0</v>
      </c>
      <c r="AL14" s="1"/>
      <c r="AM14" s="1">
        <v>0</v>
      </c>
      <c r="AN14" s="1"/>
      <c r="AO14" s="17">
        <f t="shared" si="11"/>
        <v>0</v>
      </c>
      <c r="AP14" s="21"/>
      <c r="AQ14" s="1">
        <v>0</v>
      </c>
      <c r="AR14" s="1"/>
      <c r="AS14" s="1">
        <v>0</v>
      </c>
      <c r="AT14" s="1"/>
      <c r="AU14" s="17">
        <f t="shared" si="12"/>
        <v>0</v>
      </c>
      <c r="AV14" s="79"/>
      <c r="AW14" s="68" t="s">
        <v>15</v>
      </c>
      <c r="AX14" s="79"/>
      <c r="AY14" s="1">
        <v>0</v>
      </c>
      <c r="AZ14" s="1"/>
      <c r="BA14" s="1">
        <v>0</v>
      </c>
      <c r="BB14" s="1"/>
      <c r="BC14" s="1">
        <v>0</v>
      </c>
      <c r="BD14" s="1"/>
      <c r="BE14" s="1">
        <v>0</v>
      </c>
      <c r="BF14" s="1"/>
      <c r="BG14" s="17">
        <f aca="true" t="shared" si="13" ref="BG14:BG27">SUM(AY14:BE14)</f>
        <v>0</v>
      </c>
      <c r="BH14" s="65"/>
    </row>
    <row r="15" spans="1:60" ht="12.75" hidden="1">
      <c r="A15" s="63" t="s">
        <v>16</v>
      </c>
      <c r="B15" s="79"/>
      <c r="C15" s="17">
        <f t="shared" si="6"/>
        <v>0</v>
      </c>
      <c r="D15" s="17"/>
      <c r="E15" s="17">
        <v>0</v>
      </c>
      <c r="F15" s="17"/>
      <c r="G15" s="17">
        <v>0</v>
      </c>
      <c r="H15" s="17"/>
      <c r="I15" s="17">
        <f t="shared" si="7"/>
        <v>0</v>
      </c>
      <c r="J15" s="17"/>
      <c r="K15" s="17">
        <f t="shared" si="8"/>
        <v>0</v>
      </c>
      <c r="L15" s="17"/>
      <c r="M15" s="17">
        <v>0</v>
      </c>
      <c r="N15" s="17"/>
      <c r="O15" s="17">
        <v>0</v>
      </c>
      <c r="P15" s="17"/>
      <c r="Q15" s="17">
        <v>0</v>
      </c>
      <c r="R15" s="17"/>
      <c r="S15" s="17">
        <v>0</v>
      </c>
      <c r="T15" s="17"/>
      <c r="U15" s="17">
        <f t="shared" si="9"/>
        <v>0</v>
      </c>
      <c r="V15" s="79"/>
      <c r="W15" s="68" t="s">
        <v>16</v>
      </c>
      <c r="X15" s="79"/>
      <c r="Y15" s="17">
        <v>0</v>
      </c>
      <c r="Z15" s="1"/>
      <c r="AA15" s="17">
        <v>0</v>
      </c>
      <c r="AB15" s="1"/>
      <c r="AC15" s="17">
        <v>0</v>
      </c>
      <c r="AD15" s="1"/>
      <c r="AE15" s="17">
        <f t="shared" si="10"/>
        <v>0</v>
      </c>
      <c r="AF15" s="21"/>
      <c r="AG15" s="17">
        <v>0</v>
      </c>
      <c r="AH15" s="21"/>
      <c r="AI15" s="17">
        <v>0</v>
      </c>
      <c r="AJ15" s="1"/>
      <c r="AK15" s="17">
        <v>0</v>
      </c>
      <c r="AL15" s="1"/>
      <c r="AM15" s="1">
        <v>0</v>
      </c>
      <c r="AN15" s="1"/>
      <c r="AO15" s="17">
        <f t="shared" si="11"/>
        <v>0</v>
      </c>
      <c r="AP15" s="21"/>
      <c r="AQ15" s="1">
        <v>0</v>
      </c>
      <c r="AR15" s="1"/>
      <c r="AS15" s="1">
        <v>0</v>
      </c>
      <c r="AT15" s="1"/>
      <c r="AU15" s="17">
        <f t="shared" si="12"/>
        <v>0</v>
      </c>
      <c r="AV15" s="79"/>
      <c r="AW15" s="68" t="s">
        <v>16</v>
      </c>
      <c r="AX15" s="79"/>
      <c r="AY15" s="1">
        <v>0</v>
      </c>
      <c r="AZ15" s="1"/>
      <c r="BA15" s="1">
        <v>0</v>
      </c>
      <c r="BB15" s="1"/>
      <c r="BC15" s="1">
        <v>0</v>
      </c>
      <c r="BD15" s="1"/>
      <c r="BE15" s="1">
        <v>0</v>
      </c>
      <c r="BF15" s="1"/>
      <c r="BG15" s="17">
        <f t="shared" si="13"/>
        <v>0</v>
      </c>
      <c r="BH15" s="65"/>
    </row>
    <row r="16" spans="1:60" ht="12.75" hidden="1">
      <c r="A16" s="63" t="s">
        <v>17</v>
      </c>
      <c r="B16" s="79"/>
      <c r="C16" s="17">
        <f t="shared" si="6"/>
        <v>0</v>
      </c>
      <c r="D16" s="17"/>
      <c r="E16" s="17">
        <v>0</v>
      </c>
      <c r="F16" s="17"/>
      <c r="G16" s="17">
        <v>0</v>
      </c>
      <c r="H16" s="17"/>
      <c r="I16" s="17">
        <f t="shared" si="7"/>
        <v>0</v>
      </c>
      <c r="J16" s="17"/>
      <c r="K16" s="17">
        <f t="shared" si="8"/>
        <v>0</v>
      </c>
      <c r="L16" s="17"/>
      <c r="M16" s="17">
        <v>0</v>
      </c>
      <c r="N16" s="17"/>
      <c r="O16" s="17">
        <v>0</v>
      </c>
      <c r="P16" s="17"/>
      <c r="Q16" s="17">
        <v>0</v>
      </c>
      <c r="R16" s="17"/>
      <c r="S16" s="17">
        <v>0</v>
      </c>
      <c r="T16" s="17"/>
      <c r="U16" s="17">
        <f t="shared" si="9"/>
        <v>0</v>
      </c>
      <c r="V16" s="79"/>
      <c r="W16" s="68" t="s">
        <v>17</v>
      </c>
      <c r="X16" s="79"/>
      <c r="Y16" s="17">
        <v>0</v>
      </c>
      <c r="Z16" s="1"/>
      <c r="AA16" s="17">
        <v>0</v>
      </c>
      <c r="AB16" s="1"/>
      <c r="AC16" s="17">
        <v>0</v>
      </c>
      <c r="AD16" s="1"/>
      <c r="AE16" s="17">
        <f t="shared" si="10"/>
        <v>0</v>
      </c>
      <c r="AF16" s="21"/>
      <c r="AG16" s="17">
        <v>0</v>
      </c>
      <c r="AH16" s="21"/>
      <c r="AI16" s="17">
        <v>0</v>
      </c>
      <c r="AJ16" s="1"/>
      <c r="AK16" s="17">
        <v>0</v>
      </c>
      <c r="AL16" s="1"/>
      <c r="AM16" s="1">
        <v>0</v>
      </c>
      <c r="AN16" s="1"/>
      <c r="AO16" s="17">
        <f t="shared" si="11"/>
        <v>0</v>
      </c>
      <c r="AP16" s="21"/>
      <c r="AQ16" s="1">
        <v>0</v>
      </c>
      <c r="AR16" s="1"/>
      <c r="AS16" s="1">
        <v>0</v>
      </c>
      <c r="AT16" s="1"/>
      <c r="AU16" s="17">
        <f t="shared" si="12"/>
        <v>0</v>
      </c>
      <c r="AV16" s="79"/>
      <c r="AW16" s="68" t="s">
        <v>17</v>
      </c>
      <c r="AX16" s="79"/>
      <c r="AY16" s="1">
        <v>0</v>
      </c>
      <c r="AZ16" s="1"/>
      <c r="BA16" s="1">
        <v>0</v>
      </c>
      <c r="BB16" s="1"/>
      <c r="BC16" s="1">
        <v>0</v>
      </c>
      <c r="BD16" s="1"/>
      <c r="BE16" s="1">
        <v>0</v>
      </c>
      <c r="BF16" s="1"/>
      <c r="BG16" s="17">
        <f t="shared" si="13"/>
        <v>0</v>
      </c>
      <c r="BH16" s="65"/>
    </row>
    <row r="17" spans="1:60" ht="12.75" hidden="1">
      <c r="A17" s="63" t="s">
        <v>18</v>
      </c>
      <c r="B17" s="79"/>
      <c r="C17" s="17">
        <f t="shared" si="6"/>
        <v>0</v>
      </c>
      <c r="D17" s="17"/>
      <c r="E17" s="17">
        <v>0</v>
      </c>
      <c r="F17" s="17"/>
      <c r="G17" s="17">
        <v>0</v>
      </c>
      <c r="H17" s="17"/>
      <c r="I17" s="17">
        <f t="shared" si="7"/>
        <v>0</v>
      </c>
      <c r="J17" s="17"/>
      <c r="K17" s="17">
        <f t="shared" si="8"/>
        <v>0</v>
      </c>
      <c r="L17" s="17"/>
      <c r="M17" s="17">
        <v>0</v>
      </c>
      <c r="N17" s="17"/>
      <c r="O17" s="17">
        <v>0</v>
      </c>
      <c r="P17" s="17"/>
      <c r="Q17" s="17">
        <v>0</v>
      </c>
      <c r="R17" s="17"/>
      <c r="S17" s="17">
        <v>0</v>
      </c>
      <c r="T17" s="17"/>
      <c r="U17" s="17">
        <f t="shared" si="9"/>
        <v>0</v>
      </c>
      <c r="V17" s="79"/>
      <c r="W17" s="68" t="s">
        <v>18</v>
      </c>
      <c r="X17" s="79"/>
      <c r="Y17" s="17">
        <v>0</v>
      </c>
      <c r="Z17" s="1"/>
      <c r="AA17" s="17">
        <v>0</v>
      </c>
      <c r="AB17" s="1"/>
      <c r="AC17" s="17">
        <v>0</v>
      </c>
      <c r="AD17" s="1"/>
      <c r="AE17" s="17">
        <f t="shared" si="10"/>
        <v>0</v>
      </c>
      <c r="AF17" s="21"/>
      <c r="AG17" s="17">
        <v>0</v>
      </c>
      <c r="AH17" s="21"/>
      <c r="AI17" s="17">
        <v>0</v>
      </c>
      <c r="AJ17" s="1"/>
      <c r="AK17" s="17">
        <v>0</v>
      </c>
      <c r="AL17" s="1"/>
      <c r="AM17" s="1">
        <v>0</v>
      </c>
      <c r="AN17" s="1"/>
      <c r="AO17" s="17">
        <f t="shared" si="11"/>
        <v>0</v>
      </c>
      <c r="AP17" s="21"/>
      <c r="AQ17" s="1">
        <v>0</v>
      </c>
      <c r="AR17" s="1"/>
      <c r="AS17" s="1">
        <v>0</v>
      </c>
      <c r="AT17" s="1"/>
      <c r="AU17" s="17">
        <f t="shared" si="12"/>
        <v>0</v>
      </c>
      <c r="AV17" s="79"/>
      <c r="AW17" s="68" t="s">
        <v>18</v>
      </c>
      <c r="AX17" s="79"/>
      <c r="AY17" s="1">
        <v>0</v>
      </c>
      <c r="AZ17" s="1"/>
      <c r="BA17" s="1">
        <v>0</v>
      </c>
      <c r="BB17" s="1"/>
      <c r="BC17" s="1">
        <v>0</v>
      </c>
      <c r="BD17" s="1"/>
      <c r="BE17" s="1">
        <v>0</v>
      </c>
      <c r="BF17" s="1"/>
      <c r="BG17" s="17">
        <f t="shared" si="13"/>
        <v>0</v>
      </c>
      <c r="BH17" s="65"/>
    </row>
    <row r="18" spans="1:60" ht="12.75" hidden="1">
      <c r="A18" s="63" t="s">
        <v>254</v>
      </c>
      <c r="B18" s="79"/>
      <c r="C18" s="17">
        <f t="shared" si="6"/>
        <v>0</v>
      </c>
      <c r="D18" s="17"/>
      <c r="E18" s="17">
        <v>0</v>
      </c>
      <c r="F18" s="17"/>
      <c r="G18" s="17"/>
      <c r="H18" s="17"/>
      <c r="I18" s="17">
        <f t="shared" si="7"/>
        <v>0</v>
      </c>
      <c r="J18" s="17"/>
      <c r="K18" s="17">
        <f t="shared" si="8"/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>
        <f t="shared" si="9"/>
        <v>0</v>
      </c>
      <c r="V18" s="17"/>
      <c r="W18" s="68" t="s">
        <v>96</v>
      </c>
      <c r="X18" s="17"/>
      <c r="Y18" s="17"/>
      <c r="Z18" s="1"/>
      <c r="AA18" s="17"/>
      <c r="AB18" s="1"/>
      <c r="AC18" s="17"/>
      <c r="AD18" s="1"/>
      <c r="AE18" s="17">
        <f t="shared" si="10"/>
        <v>0</v>
      </c>
      <c r="AF18" s="21"/>
      <c r="AG18" s="17"/>
      <c r="AH18" s="21"/>
      <c r="AI18" s="17"/>
      <c r="AJ18" s="1"/>
      <c r="AK18" s="17"/>
      <c r="AL18" s="1"/>
      <c r="AM18" s="1"/>
      <c r="AN18" s="1"/>
      <c r="AO18" s="17">
        <f t="shared" si="11"/>
        <v>0</v>
      </c>
      <c r="AP18" s="21"/>
      <c r="AQ18" s="1">
        <v>0</v>
      </c>
      <c r="AR18" s="1"/>
      <c r="AS18" s="1">
        <v>0</v>
      </c>
      <c r="AT18" s="1"/>
      <c r="AU18" s="17">
        <f t="shared" si="12"/>
        <v>0</v>
      </c>
      <c r="AV18" s="1"/>
      <c r="AW18" s="68" t="s">
        <v>96</v>
      </c>
      <c r="AX18" s="1"/>
      <c r="AY18" s="1"/>
      <c r="AZ18" s="1"/>
      <c r="BA18" s="1"/>
      <c r="BB18" s="1"/>
      <c r="BC18" s="1"/>
      <c r="BD18" s="1"/>
      <c r="BE18" s="1"/>
      <c r="BF18" s="1"/>
      <c r="BG18" s="17">
        <f t="shared" si="13"/>
        <v>0</v>
      </c>
      <c r="BH18" s="65"/>
    </row>
    <row r="19" spans="1:60" ht="12.75" hidden="1">
      <c r="A19" s="63" t="s">
        <v>19</v>
      </c>
      <c r="B19" s="79"/>
      <c r="C19" s="17">
        <f t="shared" si="6"/>
        <v>0</v>
      </c>
      <c r="D19" s="17"/>
      <c r="E19" s="17">
        <v>0</v>
      </c>
      <c r="F19" s="17"/>
      <c r="G19" s="17">
        <v>0</v>
      </c>
      <c r="H19" s="17"/>
      <c r="I19" s="17">
        <f t="shared" si="7"/>
        <v>0</v>
      </c>
      <c r="J19" s="17"/>
      <c r="K19" s="17">
        <f t="shared" si="8"/>
        <v>0</v>
      </c>
      <c r="L19" s="17"/>
      <c r="M19" s="17">
        <v>0</v>
      </c>
      <c r="N19" s="17"/>
      <c r="O19" s="17">
        <v>0</v>
      </c>
      <c r="P19" s="17"/>
      <c r="Q19" s="17">
        <v>0</v>
      </c>
      <c r="R19" s="17"/>
      <c r="S19" s="17">
        <v>0</v>
      </c>
      <c r="T19" s="17"/>
      <c r="U19" s="17">
        <f t="shared" si="9"/>
        <v>0</v>
      </c>
      <c r="V19" s="17"/>
      <c r="W19" s="68" t="s">
        <v>19</v>
      </c>
      <c r="X19" s="17"/>
      <c r="Y19" s="17">
        <v>0</v>
      </c>
      <c r="Z19" s="1"/>
      <c r="AA19" s="17">
        <v>0</v>
      </c>
      <c r="AB19" s="1"/>
      <c r="AC19" s="17">
        <v>0</v>
      </c>
      <c r="AD19" s="1"/>
      <c r="AE19" s="17">
        <f t="shared" si="10"/>
        <v>0</v>
      </c>
      <c r="AF19" s="21"/>
      <c r="AG19" s="17">
        <v>0</v>
      </c>
      <c r="AH19" s="21"/>
      <c r="AI19" s="17">
        <v>0</v>
      </c>
      <c r="AJ19" s="1"/>
      <c r="AK19" s="17">
        <v>0</v>
      </c>
      <c r="AL19" s="1"/>
      <c r="AM19" s="1">
        <v>0</v>
      </c>
      <c r="AN19" s="1"/>
      <c r="AO19" s="17">
        <f t="shared" si="11"/>
        <v>0</v>
      </c>
      <c r="AP19" s="21"/>
      <c r="AQ19" s="1">
        <v>0</v>
      </c>
      <c r="AR19" s="1"/>
      <c r="AS19" s="1">
        <v>0</v>
      </c>
      <c r="AT19" s="1"/>
      <c r="AU19" s="17">
        <f t="shared" si="12"/>
        <v>0</v>
      </c>
      <c r="AV19" s="1"/>
      <c r="AW19" s="68" t="s">
        <v>19</v>
      </c>
      <c r="AX19" s="1"/>
      <c r="AY19" s="1">
        <v>0</v>
      </c>
      <c r="AZ19" s="1"/>
      <c r="BA19" s="1">
        <v>0</v>
      </c>
      <c r="BB19" s="1"/>
      <c r="BC19" s="1">
        <v>0</v>
      </c>
      <c r="BD19" s="1"/>
      <c r="BE19" s="1">
        <v>0</v>
      </c>
      <c r="BF19" s="1"/>
      <c r="BG19" s="17">
        <f t="shared" si="13"/>
        <v>0</v>
      </c>
      <c r="BH19" s="65"/>
    </row>
    <row r="20" spans="1:60" ht="12.75">
      <c r="A20" s="63" t="s">
        <v>20</v>
      </c>
      <c r="B20" s="79"/>
      <c r="C20" s="17">
        <f t="shared" si="6"/>
        <v>2223</v>
      </c>
      <c r="D20" s="17"/>
      <c r="E20" s="17">
        <v>0</v>
      </c>
      <c r="F20" s="17"/>
      <c r="G20" s="17">
        <v>2223</v>
      </c>
      <c r="H20" s="17"/>
      <c r="I20" s="17">
        <f t="shared" si="7"/>
        <v>1226</v>
      </c>
      <c r="J20" s="17"/>
      <c r="K20" s="17">
        <f t="shared" si="8"/>
        <v>3915483</v>
      </c>
      <c r="L20" s="17"/>
      <c r="M20" s="17">
        <v>3916709</v>
      </c>
      <c r="N20" s="17"/>
      <c r="O20" s="17">
        <v>0</v>
      </c>
      <c r="P20" s="17"/>
      <c r="Q20" s="17">
        <v>0</v>
      </c>
      <c r="R20" s="17"/>
      <c r="S20" s="17">
        <v>-3914486</v>
      </c>
      <c r="T20" s="17"/>
      <c r="U20" s="17">
        <f t="shared" si="9"/>
        <v>-3914486</v>
      </c>
      <c r="V20" s="17"/>
      <c r="W20" s="68" t="s">
        <v>20</v>
      </c>
      <c r="X20" s="17"/>
      <c r="Y20" s="17">
        <v>0</v>
      </c>
      <c r="Z20" s="1"/>
      <c r="AA20" s="17">
        <v>20337</v>
      </c>
      <c r="AB20" s="1"/>
      <c r="AC20" s="17">
        <v>0</v>
      </c>
      <c r="AD20" s="1"/>
      <c r="AE20" s="17">
        <f t="shared" si="10"/>
        <v>-20337</v>
      </c>
      <c r="AF20" s="21"/>
      <c r="AG20" s="17">
        <v>0</v>
      </c>
      <c r="AH20" s="21"/>
      <c r="AI20" s="17">
        <v>22043</v>
      </c>
      <c r="AJ20" s="1"/>
      <c r="AK20" s="17">
        <v>0</v>
      </c>
      <c r="AL20" s="1"/>
      <c r="AM20" s="1">
        <v>0</v>
      </c>
      <c r="AN20" s="1"/>
      <c r="AO20" s="17">
        <f t="shared" si="11"/>
        <v>1706</v>
      </c>
      <c r="AP20" s="21"/>
      <c r="AQ20" s="1">
        <v>0</v>
      </c>
      <c r="AR20" s="1"/>
      <c r="AS20" s="1">
        <v>0</v>
      </c>
      <c r="AT20" s="1"/>
      <c r="AU20" s="17">
        <f t="shared" si="12"/>
        <v>997</v>
      </c>
      <c r="AV20" s="1"/>
      <c r="AW20" s="68" t="s">
        <v>20</v>
      </c>
      <c r="AX20" s="1"/>
      <c r="AY20" s="1">
        <v>0</v>
      </c>
      <c r="AZ20" s="1"/>
      <c r="BA20" s="1">
        <v>0</v>
      </c>
      <c r="BB20" s="1"/>
      <c r="BC20" s="1">
        <v>0</v>
      </c>
      <c r="BD20" s="1"/>
      <c r="BE20" s="1">
        <v>3915483</v>
      </c>
      <c r="BF20" s="1"/>
      <c r="BG20" s="17">
        <f t="shared" si="13"/>
        <v>3915483</v>
      </c>
      <c r="BH20" s="65"/>
    </row>
    <row r="21" spans="1:60" ht="12.75" hidden="1">
      <c r="A21" s="4" t="s">
        <v>173</v>
      </c>
      <c r="B21" s="79"/>
      <c r="C21" s="17">
        <f t="shared" si="6"/>
        <v>0</v>
      </c>
      <c r="D21" s="17"/>
      <c r="E21" s="17"/>
      <c r="F21" s="17"/>
      <c r="G21" s="17"/>
      <c r="H21" s="17"/>
      <c r="I21" s="17">
        <f t="shared" si="7"/>
        <v>0</v>
      </c>
      <c r="J21" s="17"/>
      <c r="K21" s="17">
        <f t="shared" si="8"/>
        <v>0</v>
      </c>
      <c r="L21" s="17"/>
      <c r="M21" s="17"/>
      <c r="N21" s="17"/>
      <c r="O21" s="17"/>
      <c r="P21" s="17"/>
      <c r="Q21" s="17"/>
      <c r="R21" s="17"/>
      <c r="S21" s="17"/>
      <c r="T21" s="17"/>
      <c r="U21" s="17">
        <f t="shared" si="9"/>
        <v>0</v>
      </c>
      <c r="V21" s="79"/>
      <c r="W21" s="1" t="s">
        <v>173</v>
      </c>
      <c r="X21" s="79"/>
      <c r="Y21" s="17"/>
      <c r="Z21" s="1"/>
      <c r="AA21" s="17"/>
      <c r="AB21" s="1"/>
      <c r="AC21" s="17"/>
      <c r="AD21" s="1"/>
      <c r="AE21" s="17">
        <f t="shared" si="10"/>
        <v>0</v>
      </c>
      <c r="AF21" s="21"/>
      <c r="AG21" s="17"/>
      <c r="AH21" s="21"/>
      <c r="AI21" s="17"/>
      <c r="AJ21" s="1"/>
      <c r="AK21" s="17"/>
      <c r="AL21" s="1"/>
      <c r="AM21" s="1"/>
      <c r="AN21" s="1"/>
      <c r="AO21" s="17">
        <f t="shared" si="11"/>
        <v>0</v>
      </c>
      <c r="AP21" s="21"/>
      <c r="AQ21" s="1">
        <v>0</v>
      </c>
      <c r="AR21" s="1"/>
      <c r="AS21" s="1">
        <v>0</v>
      </c>
      <c r="AT21" s="1"/>
      <c r="AU21" s="17">
        <f t="shared" si="12"/>
        <v>0</v>
      </c>
      <c r="AV21" s="79"/>
      <c r="AW21" s="1" t="s">
        <v>173</v>
      </c>
      <c r="AX21" s="79"/>
      <c r="AY21" s="1"/>
      <c r="AZ21" s="1"/>
      <c r="BA21" s="1"/>
      <c r="BB21" s="1"/>
      <c r="BC21" s="1"/>
      <c r="BD21" s="1"/>
      <c r="BE21" s="1"/>
      <c r="BF21" s="1"/>
      <c r="BG21" s="17">
        <f t="shared" si="13"/>
        <v>0</v>
      </c>
      <c r="BH21" s="65"/>
    </row>
    <row r="22" spans="1:60" ht="12.75" hidden="1">
      <c r="A22" s="63" t="s">
        <v>21</v>
      </c>
      <c r="B22" s="79"/>
      <c r="C22" s="17">
        <f t="shared" si="6"/>
        <v>0</v>
      </c>
      <c r="D22" s="17"/>
      <c r="E22" s="17">
        <v>0</v>
      </c>
      <c r="F22" s="17"/>
      <c r="G22" s="17">
        <v>0</v>
      </c>
      <c r="H22" s="17"/>
      <c r="I22" s="17">
        <f t="shared" si="7"/>
        <v>0</v>
      </c>
      <c r="J22" s="17"/>
      <c r="K22" s="17">
        <f t="shared" si="8"/>
        <v>0</v>
      </c>
      <c r="L22" s="17"/>
      <c r="M22" s="17">
        <v>0</v>
      </c>
      <c r="N22" s="17"/>
      <c r="O22" s="17">
        <v>0</v>
      </c>
      <c r="P22" s="17"/>
      <c r="Q22" s="17">
        <v>0</v>
      </c>
      <c r="R22" s="17"/>
      <c r="S22" s="17">
        <v>0</v>
      </c>
      <c r="T22" s="17"/>
      <c r="U22" s="17">
        <f t="shared" si="9"/>
        <v>0</v>
      </c>
      <c r="V22" s="79"/>
      <c r="W22" s="68" t="s">
        <v>21</v>
      </c>
      <c r="X22" s="79"/>
      <c r="Y22" s="17">
        <v>0</v>
      </c>
      <c r="Z22" s="1"/>
      <c r="AA22" s="17">
        <v>0</v>
      </c>
      <c r="AB22" s="1"/>
      <c r="AC22" s="17">
        <v>0</v>
      </c>
      <c r="AD22" s="1"/>
      <c r="AE22" s="17">
        <f t="shared" si="10"/>
        <v>0</v>
      </c>
      <c r="AF22" s="21"/>
      <c r="AG22" s="17">
        <v>0</v>
      </c>
      <c r="AH22" s="21"/>
      <c r="AI22" s="17">
        <v>0</v>
      </c>
      <c r="AJ22" s="1"/>
      <c r="AK22" s="17">
        <v>0</v>
      </c>
      <c r="AL22" s="1"/>
      <c r="AM22" s="1">
        <v>0</v>
      </c>
      <c r="AN22" s="1"/>
      <c r="AO22" s="17">
        <f t="shared" si="11"/>
        <v>0</v>
      </c>
      <c r="AP22" s="21"/>
      <c r="AQ22" s="1">
        <v>0</v>
      </c>
      <c r="AR22" s="1"/>
      <c r="AS22" s="1">
        <v>0</v>
      </c>
      <c r="AT22" s="1"/>
      <c r="AU22" s="17">
        <f t="shared" si="12"/>
        <v>0</v>
      </c>
      <c r="AV22" s="79"/>
      <c r="AW22" s="68" t="s">
        <v>21</v>
      </c>
      <c r="AX22" s="79"/>
      <c r="AY22" s="1">
        <v>0</v>
      </c>
      <c r="AZ22" s="1"/>
      <c r="BA22" s="1">
        <v>0</v>
      </c>
      <c r="BB22" s="1"/>
      <c r="BC22" s="1">
        <v>0</v>
      </c>
      <c r="BD22" s="1"/>
      <c r="BE22" s="1">
        <v>0</v>
      </c>
      <c r="BF22" s="1"/>
      <c r="BG22" s="17">
        <f t="shared" si="13"/>
        <v>0</v>
      </c>
      <c r="BH22" s="65"/>
    </row>
    <row r="23" spans="1:60" ht="12.75" hidden="1">
      <c r="A23" s="63" t="s">
        <v>256</v>
      </c>
      <c r="B23" s="79"/>
      <c r="C23" s="17">
        <f t="shared" si="6"/>
        <v>0</v>
      </c>
      <c r="D23" s="17"/>
      <c r="E23" s="17">
        <v>0</v>
      </c>
      <c r="F23" s="17"/>
      <c r="G23" s="17">
        <v>0</v>
      </c>
      <c r="H23" s="17"/>
      <c r="I23" s="17">
        <f t="shared" si="7"/>
        <v>0</v>
      </c>
      <c r="J23" s="17"/>
      <c r="K23" s="17">
        <f t="shared" si="8"/>
        <v>0</v>
      </c>
      <c r="L23" s="17"/>
      <c r="M23" s="17">
        <v>0</v>
      </c>
      <c r="N23" s="17"/>
      <c r="O23" s="17">
        <v>0</v>
      </c>
      <c r="P23" s="17"/>
      <c r="Q23" s="17">
        <v>0</v>
      </c>
      <c r="R23" s="17"/>
      <c r="S23" s="17">
        <v>0</v>
      </c>
      <c r="T23" s="17"/>
      <c r="U23" s="17">
        <f t="shared" si="9"/>
        <v>0</v>
      </c>
      <c r="V23" s="79"/>
      <c r="W23" s="68" t="s">
        <v>256</v>
      </c>
      <c r="X23" s="79"/>
      <c r="Y23" s="17">
        <v>0</v>
      </c>
      <c r="Z23" s="1"/>
      <c r="AA23" s="17">
        <v>0</v>
      </c>
      <c r="AB23" s="1"/>
      <c r="AC23" s="17">
        <v>0</v>
      </c>
      <c r="AD23" s="1"/>
      <c r="AE23" s="17">
        <f t="shared" si="10"/>
        <v>0</v>
      </c>
      <c r="AF23" s="21"/>
      <c r="AG23" s="17">
        <v>0</v>
      </c>
      <c r="AH23" s="21"/>
      <c r="AI23" s="17">
        <v>0</v>
      </c>
      <c r="AJ23" s="1"/>
      <c r="AK23" s="17">
        <v>0</v>
      </c>
      <c r="AL23" s="1"/>
      <c r="AM23" s="1">
        <v>0</v>
      </c>
      <c r="AN23" s="1"/>
      <c r="AO23" s="17">
        <f t="shared" si="11"/>
        <v>0</v>
      </c>
      <c r="AP23" s="21"/>
      <c r="AQ23" s="1">
        <v>0</v>
      </c>
      <c r="AR23" s="1"/>
      <c r="AS23" s="1">
        <v>0</v>
      </c>
      <c r="AT23" s="1"/>
      <c r="AU23" s="17">
        <f t="shared" si="12"/>
        <v>0</v>
      </c>
      <c r="AV23" s="79"/>
      <c r="AW23" s="68" t="s">
        <v>256</v>
      </c>
      <c r="AX23" s="79"/>
      <c r="AY23" s="1">
        <v>0</v>
      </c>
      <c r="AZ23" s="1"/>
      <c r="BA23" s="1">
        <v>0</v>
      </c>
      <c r="BB23" s="1"/>
      <c r="BC23" s="1">
        <v>0</v>
      </c>
      <c r="BD23" s="1"/>
      <c r="BE23" s="1">
        <v>0</v>
      </c>
      <c r="BF23" s="1"/>
      <c r="BG23" s="17">
        <f t="shared" si="13"/>
        <v>0</v>
      </c>
      <c r="BH23" s="65"/>
    </row>
    <row r="24" spans="1:60" ht="12.75" hidden="1">
      <c r="A24" s="63" t="s">
        <v>22</v>
      </c>
      <c r="B24" s="79"/>
      <c r="C24" s="17">
        <f t="shared" si="6"/>
        <v>0</v>
      </c>
      <c r="D24" s="17"/>
      <c r="E24" s="17">
        <v>0</v>
      </c>
      <c r="F24" s="17"/>
      <c r="G24" s="17">
        <v>0</v>
      </c>
      <c r="H24" s="17"/>
      <c r="I24" s="17">
        <f t="shared" si="7"/>
        <v>0</v>
      </c>
      <c r="J24" s="17"/>
      <c r="K24" s="17">
        <f t="shared" si="8"/>
        <v>0</v>
      </c>
      <c r="L24" s="17"/>
      <c r="M24" s="17">
        <v>0</v>
      </c>
      <c r="N24" s="17"/>
      <c r="O24" s="17">
        <v>0</v>
      </c>
      <c r="P24" s="17"/>
      <c r="Q24" s="17">
        <v>0</v>
      </c>
      <c r="R24" s="17"/>
      <c r="S24" s="17">
        <v>0</v>
      </c>
      <c r="T24" s="17"/>
      <c r="U24" s="17">
        <f t="shared" si="9"/>
        <v>0</v>
      </c>
      <c r="V24" s="17"/>
      <c r="W24" s="68" t="s">
        <v>22</v>
      </c>
      <c r="X24" s="17"/>
      <c r="Y24" s="17">
        <v>0</v>
      </c>
      <c r="Z24" s="1"/>
      <c r="AA24" s="17">
        <v>0</v>
      </c>
      <c r="AB24" s="1"/>
      <c r="AC24" s="17">
        <v>0</v>
      </c>
      <c r="AD24" s="1"/>
      <c r="AE24" s="17">
        <f t="shared" si="10"/>
        <v>0</v>
      </c>
      <c r="AF24" s="21"/>
      <c r="AG24" s="17">
        <v>0</v>
      </c>
      <c r="AH24" s="21"/>
      <c r="AI24" s="17">
        <v>0</v>
      </c>
      <c r="AJ24" s="1"/>
      <c r="AK24" s="17">
        <v>0</v>
      </c>
      <c r="AL24" s="1"/>
      <c r="AM24" s="1">
        <v>0</v>
      </c>
      <c r="AN24" s="1"/>
      <c r="AO24" s="17">
        <f t="shared" si="11"/>
        <v>0</v>
      </c>
      <c r="AP24" s="21"/>
      <c r="AQ24" s="1">
        <v>0</v>
      </c>
      <c r="AR24" s="1"/>
      <c r="AS24" s="1">
        <v>0</v>
      </c>
      <c r="AT24" s="1"/>
      <c r="AU24" s="17">
        <f t="shared" si="12"/>
        <v>0</v>
      </c>
      <c r="AV24" s="1"/>
      <c r="AW24" s="68" t="s">
        <v>22</v>
      </c>
      <c r="AX24" s="1"/>
      <c r="AY24" s="1">
        <v>0</v>
      </c>
      <c r="AZ24" s="1"/>
      <c r="BA24" s="1">
        <v>0</v>
      </c>
      <c r="BB24" s="1"/>
      <c r="BC24" s="1">
        <v>0</v>
      </c>
      <c r="BD24" s="1"/>
      <c r="BE24" s="1">
        <v>0</v>
      </c>
      <c r="BF24" s="1"/>
      <c r="BG24" s="17">
        <f t="shared" si="13"/>
        <v>0</v>
      </c>
      <c r="BH24" s="65"/>
    </row>
    <row r="25" spans="1:60" ht="12.75" hidden="1">
      <c r="A25" s="63" t="s">
        <v>23</v>
      </c>
      <c r="B25" s="79"/>
      <c r="C25" s="17">
        <f t="shared" si="6"/>
        <v>0</v>
      </c>
      <c r="D25" s="17"/>
      <c r="E25" s="17"/>
      <c r="F25" s="17"/>
      <c r="G25" s="17"/>
      <c r="H25" s="17"/>
      <c r="I25" s="17">
        <f t="shared" si="7"/>
        <v>0</v>
      </c>
      <c r="J25" s="17"/>
      <c r="K25" s="17">
        <f t="shared" si="8"/>
        <v>0</v>
      </c>
      <c r="L25" s="17"/>
      <c r="M25" s="17"/>
      <c r="N25" s="17"/>
      <c r="O25" s="17"/>
      <c r="P25" s="17"/>
      <c r="Q25" s="17"/>
      <c r="R25" s="17"/>
      <c r="S25" s="17"/>
      <c r="T25" s="17"/>
      <c r="U25" s="17">
        <f t="shared" si="9"/>
        <v>0</v>
      </c>
      <c r="V25" s="17"/>
      <c r="W25" s="68" t="s">
        <v>23</v>
      </c>
      <c r="X25" s="17"/>
      <c r="Y25" s="17"/>
      <c r="Z25" s="1"/>
      <c r="AA25" s="17"/>
      <c r="AB25" s="1"/>
      <c r="AC25" s="17"/>
      <c r="AD25" s="1"/>
      <c r="AE25" s="17">
        <f t="shared" si="10"/>
        <v>0</v>
      </c>
      <c r="AF25" s="21"/>
      <c r="AG25" s="17"/>
      <c r="AH25" s="21"/>
      <c r="AI25" s="17"/>
      <c r="AJ25" s="1"/>
      <c r="AK25" s="17"/>
      <c r="AL25" s="1"/>
      <c r="AM25" s="1"/>
      <c r="AN25" s="1"/>
      <c r="AO25" s="17">
        <f t="shared" si="11"/>
        <v>0</v>
      </c>
      <c r="AP25" s="21"/>
      <c r="AQ25" s="1">
        <v>0</v>
      </c>
      <c r="AR25" s="1"/>
      <c r="AS25" s="1">
        <v>0</v>
      </c>
      <c r="AT25" s="1"/>
      <c r="AU25" s="17">
        <f t="shared" si="12"/>
        <v>0</v>
      </c>
      <c r="AV25" s="1"/>
      <c r="AW25" s="68" t="s">
        <v>23</v>
      </c>
      <c r="AX25" s="1"/>
      <c r="AY25" s="1"/>
      <c r="AZ25" s="1"/>
      <c r="BA25" s="1"/>
      <c r="BB25" s="1"/>
      <c r="BC25" s="1"/>
      <c r="BD25" s="1"/>
      <c r="BE25" s="1"/>
      <c r="BF25" s="1"/>
      <c r="BG25" s="17">
        <f t="shared" si="13"/>
        <v>0</v>
      </c>
      <c r="BH25" s="65"/>
    </row>
    <row r="26" spans="1:60" ht="12.75" hidden="1">
      <c r="A26" s="63" t="s">
        <v>24</v>
      </c>
      <c r="B26" s="79"/>
      <c r="C26" s="17">
        <f t="shared" si="6"/>
        <v>0</v>
      </c>
      <c r="D26" s="17"/>
      <c r="E26" s="17"/>
      <c r="F26" s="17"/>
      <c r="G26" s="17"/>
      <c r="H26" s="17"/>
      <c r="I26" s="17">
        <f t="shared" si="7"/>
        <v>0</v>
      </c>
      <c r="J26" s="17"/>
      <c r="K26" s="17">
        <f t="shared" si="8"/>
        <v>0</v>
      </c>
      <c r="L26" s="17"/>
      <c r="M26" s="17"/>
      <c r="N26" s="17"/>
      <c r="O26" s="17"/>
      <c r="P26" s="17"/>
      <c r="Q26" s="17"/>
      <c r="R26" s="17"/>
      <c r="S26" s="17"/>
      <c r="T26" s="17"/>
      <c r="U26" s="17">
        <f t="shared" si="9"/>
        <v>0</v>
      </c>
      <c r="V26" s="17"/>
      <c r="W26" s="68" t="s">
        <v>24</v>
      </c>
      <c r="X26" s="17"/>
      <c r="Y26" s="17"/>
      <c r="Z26" s="1"/>
      <c r="AA26" s="17"/>
      <c r="AB26" s="1"/>
      <c r="AC26" s="17"/>
      <c r="AD26" s="1"/>
      <c r="AE26" s="17">
        <f t="shared" si="10"/>
        <v>0</v>
      </c>
      <c r="AF26" s="21"/>
      <c r="AG26" s="17"/>
      <c r="AH26" s="21"/>
      <c r="AI26" s="17"/>
      <c r="AJ26" s="1"/>
      <c r="AK26" s="17"/>
      <c r="AL26" s="1"/>
      <c r="AM26" s="1"/>
      <c r="AN26" s="1"/>
      <c r="AO26" s="17">
        <f t="shared" si="11"/>
        <v>0</v>
      </c>
      <c r="AP26" s="21"/>
      <c r="AQ26" s="1">
        <v>0</v>
      </c>
      <c r="AR26" s="1"/>
      <c r="AS26" s="1">
        <v>0</v>
      </c>
      <c r="AT26" s="1"/>
      <c r="AU26" s="17">
        <f t="shared" si="12"/>
        <v>0</v>
      </c>
      <c r="AV26" s="1"/>
      <c r="AW26" s="68" t="s">
        <v>24</v>
      </c>
      <c r="AX26" s="1"/>
      <c r="AY26" s="1"/>
      <c r="AZ26" s="1"/>
      <c r="BA26" s="1"/>
      <c r="BB26" s="1"/>
      <c r="BC26" s="1"/>
      <c r="BD26" s="1"/>
      <c r="BE26" s="1"/>
      <c r="BF26" s="1"/>
      <c r="BG26" s="17">
        <f t="shared" si="13"/>
        <v>0</v>
      </c>
      <c r="BH26" s="65"/>
    </row>
    <row r="27" spans="1:60" ht="12.75">
      <c r="A27" s="63" t="s">
        <v>257</v>
      </c>
      <c r="B27" s="79"/>
      <c r="C27" s="17">
        <f t="shared" si="6"/>
        <v>198171</v>
      </c>
      <c r="D27" s="17"/>
      <c r="E27" s="17">
        <v>2112641</v>
      </c>
      <c r="F27" s="17"/>
      <c r="G27" s="17">
        <v>2310812</v>
      </c>
      <c r="H27" s="17"/>
      <c r="I27" s="17">
        <f t="shared" si="7"/>
        <v>193037</v>
      </c>
      <c r="J27" s="17"/>
      <c r="K27" s="17">
        <f t="shared" si="8"/>
        <v>4350258</v>
      </c>
      <c r="L27" s="17"/>
      <c r="M27" s="17">
        <v>4543295</v>
      </c>
      <c r="N27" s="17"/>
      <c r="O27" s="17">
        <v>-1478175</v>
      </c>
      <c r="P27" s="17"/>
      <c r="Q27" s="17">
        <v>0</v>
      </c>
      <c r="R27" s="17"/>
      <c r="S27" s="17">
        <v>-754308</v>
      </c>
      <c r="T27" s="17"/>
      <c r="U27" s="17">
        <f t="shared" si="9"/>
        <v>-2232483</v>
      </c>
      <c r="V27" s="17"/>
      <c r="W27" s="68" t="s">
        <v>182</v>
      </c>
      <c r="X27" s="17"/>
      <c r="Y27" s="17">
        <v>4409383</v>
      </c>
      <c r="Z27" s="1"/>
      <c r="AA27" s="17">
        <f>3493892-104651</f>
        <v>3389241</v>
      </c>
      <c r="AB27" s="1"/>
      <c r="AC27" s="17">
        <v>104651</v>
      </c>
      <c r="AD27" s="1"/>
      <c r="AE27" s="17">
        <f t="shared" si="10"/>
        <v>915491</v>
      </c>
      <c r="AF27" s="21"/>
      <c r="AG27" s="17">
        <v>-264090</v>
      </c>
      <c r="AH27" s="21"/>
      <c r="AI27" s="17">
        <v>1117</v>
      </c>
      <c r="AJ27" s="1"/>
      <c r="AK27" s="17">
        <v>0</v>
      </c>
      <c r="AL27" s="1"/>
      <c r="AM27" s="1">
        <v>0</v>
      </c>
      <c r="AN27" s="1"/>
      <c r="AO27" s="17">
        <f t="shared" si="11"/>
        <v>652518</v>
      </c>
      <c r="AP27" s="21"/>
      <c r="AQ27" s="1">
        <v>0</v>
      </c>
      <c r="AR27" s="1"/>
      <c r="AS27" s="1">
        <v>0</v>
      </c>
      <c r="AT27" s="1"/>
      <c r="AU27" s="17">
        <f t="shared" si="12"/>
        <v>5134</v>
      </c>
      <c r="AV27" s="1"/>
      <c r="AW27" s="68" t="s">
        <v>182</v>
      </c>
      <c r="AX27" s="1"/>
      <c r="AY27" s="1">
        <f>2518568+707445+1124245</f>
        <v>4350258</v>
      </c>
      <c r="AZ27" s="1"/>
      <c r="BA27" s="1">
        <v>0</v>
      </c>
      <c r="BB27" s="1"/>
      <c r="BC27" s="1">
        <v>0</v>
      </c>
      <c r="BD27" s="1"/>
      <c r="BE27" s="1">
        <v>0</v>
      </c>
      <c r="BF27" s="1"/>
      <c r="BG27" s="17">
        <f t="shared" si="13"/>
        <v>4350258</v>
      </c>
      <c r="BH27" s="65"/>
    </row>
    <row r="28" spans="1:60" ht="12.75" hidden="1">
      <c r="A28" s="63" t="s">
        <v>25</v>
      </c>
      <c r="B28" s="79"/>
      <c r="C28" s="17">
        <f aca="true" t="shared" si="14" ref="C28:C52">G28-E28</f>
        <v>0</v>
      </c>
      <c r="D28" s="17"/>
      <c r="E28" s="17">
        <v>0</v>
      </c>
      <c r="F28" s="17"/>
      <c r="G28" s="17">
        <v>0</v>
      </c>
      <c r="H28" s="17"/>
      <c r="I28" s="17">
        <f t="shared" si="0"/>
        <v>0</v>
      </c>
      <c r="J28" s="17"/>
      <c r="K28" s="17">
        <f t="shared" si="1"/>
        <v>0</v>
      </c>
      <c r="L28" s="17"/>
      <c r="M28" s="17">
        <v>0</v>
      </c>
      <c r="N28" s="17"/>
      <c r="O28" s="17">
        <v>0</v>
      </c>
      <c r="P28" s="17"/>
      <c r="Q28" s="17">
        <v>0</v>
      </c>
      <c r="R28" s="17"/>
      <c r="S28" s="17">
        <v>0</v>
      </c>
      <c r="T28" s="17"/>
      <c r="U28" s="17">
        <f t="shared" si="2"/>
        <v>0</v>
      </c>
      <c r="V28" s="17"/>
      <c r="W28" s="68" t="s">
        <v>25</v>
      </c>
      <c r="X28" s="17"/>
      <c r="Y28" s="17">
        <v>0</v>
      </c>
      <c r="Z28" s="1"/>
      <c r="AA28" s="17">
        <v>0</v>
      </c>
      <c r="AB28" s="1"/>
      <c r="AC28" s="17">
        <v>0</v>
      </c>
      <c r="AD28" s="1"/>
      <c r="AE28" s="17">
        <f t="shared" si="3"/>
        <v>0</v>
      </c>
      <c r="AF28" s="21"/>
      <c r="AG28" s="17">
        <v>0</v>
      </c>
      <c r="AH28" s="21"/>
      <c r="AI28" s="17">
        <v>0</v>
      </c>
      <c r="AJ28" s="1"/>
      <c r="AK28" s="17">
        <v>0</v>
      </c>
      <c r="AL28" s="1"/>
      <c r="AM28" s="1">
        <v>0</v>
      </c>
      <c r="AN28" s="1"/>
      <c r="AO28" s="17">
        <f t="shared" si="4"/>
        <v>0</v>
      </c>
      <c r="AP28" s="21"/>
      <c r="AQ28" s="1">
        <v>0</v>
      </c>
      <c r="AR28" s="1"/>
      <c r="AS28" s="1">
        <v>0</v>
      </c>
      <c r="AT28" s="1"/>
      <c r="AU28" s="17">
        <f t="shared" si="5"/>
        <v>0</v>
      </c>
      <c r="AV28" s="1"/>
      <c r="AW28" s="68" t="s">
        <v>25</v>
      </c>
      <c r="AX28" s="1"/>
      <c r="AY28" s="1">
        <v>0</v>
      </c>
      <c r="AZ28" s="1"/>
      <c r="BA28" s="1">
        <v>0</v>
      </c>
      <c r="BB28" s="1"/>
      <c r="BC28" s="1">
        <v>0</v>
      </c>
      <c r="BD28" s="1"/>
      <c r="BE28" s="1">
        <v>0</v>
      </c>
      <c r="BF28" s="1"/>
      <c r="BG28" s="17">
        <f aca="true" t="shared" si="15" ref="BG28:BG77">SUM(AY28:BE28)</f>
        <v>0</v>
      </c>
      <c r="BH28" s="65"/>
    </row>
    <row r="29" spans="1:60" ht="12.75" hidden="1">
      <c r="A29" s="63" t="s">
        <v>26</v>
      </c>
      <c r="B29" s="79"/>
      <c r="C29" s="17">
        <f t="shared" si="14"/>
        <v>0</v>
      </c>
      <c r="D29" s="17"/>
      <c r="E29" s="17"/>
      <c r="F29" s="17"/>
      <c r="G29" s="17"/>
      <c r="H29" s="17"/>
      <c r="I29" s="17">
        <f t="shared" si="0"/>
        <v>0</v>
      </c>
      <c r="J29" s="17"/>
      <c r="K29" s="17">
        <f t="shared" si="1"/>
        <v>0</v>
      </c>
      <c r="L29" s="17"/>
      <c r="M29" s="17"/>
      <c r="N29" s="17"/>
      <c r="O29" s="17"/>
      <c r="P29" s="17"/>
      <c r="Q29" s="17"/>
      <c r="R29" s="17"/>
      <c r="S29" s="17"/>
      <c r="T29" s="17"/>
      <c r="U29" s="17">
        <f t="shared" si="2"/>
        <v>0</v>
      </c>
      <c r="V29" s="79"/>
      <c r="W29" s="68" t="s">
        <v>26</v>
      </c>
      <c r="X29" s="79"/>
      <c r="Y29" s="17"/>
      <c r="Z29" s="1"/>
      <c r="AA29" s="17"/>
      <c r="AB29" s="1"/>
      <c r="AC29" s="17"/>
      <c r="AD29" s="1"/>
      <c r="AE29" s="17">
        <f t="shared" si="3"/>
        <v>0</v>
      </c>
      <c r="AF29" s="21"/>
      <c r="AG29" s="17"/>
      <c r="AH29" s="21"/>
      <c r="AI29" s="17"/>
      <c r="AJ29" s="1"/>
      <c r="AK29" s="17"/>
      <c r="AL29" s="1"/>
      <c r="AM29" s="1"/>
      <c r="AN29" s="1"/>
      <c r="AO29" s="17">
        <f t="shared" si="4"/>
        <v>0</v>
      </c>
      <c r="AP29" s="21"/>
      <c r="AQ29" s="1">
        <v>0</v>
      </c>
      <c r="AR29" s="1"/>
      <c r="AS29" s="1">
        <v>0</v>
      </c>
      <c r="AT29" s="1"/>
      <c r="AU29" s="17">
        <f t="shared" si="5"/>
        <v>0</v>
      </c>
      <c r="AV29" s="79"/>
      <c r="AW29" s="68" t="s">
        <v>26</v>
      </c>
      <c r="AX29" s="79"/>
      <c r="AY29" s="1"/>
      <c r="AZ29" s="1"/>
      <c r="BA29" s="1"/>
      <c r="BB29" s="1"/>
      <c r="BC29" s="1"/>
      <c r="BD29" s="1"/>
      <c r="BE29" s="1"/>
      <c r="BF29" s="1"/>
      <c r="BG29" s="17">
        <f t="shared" si="15"/>
        <v>0</v>
      </c>
      <c r="BH29" s="65"/>
    </row>
    <row r="30" spans="1:60" ht="12.75">
      <c r="A30" s="63" t="s">
        <v>27</v>
      </c>
      <c r="B30" s="79"/>
      <c r="C30" s="17">
        <f t="shared" si="14"/>
        <v>9758754</v>
      </c>
      <c r="D30" s="17"/>
      <c r="E30" s="17">
        <v>6606269</v>
      </c>
      <c r="F30" s="17"/>
      <c r="G30" s="17">
        <v>16365023</v>
      </c>
      <c r="H30" s="17"/>
      <c r="I30" s="17">
        <f t="shared" si="0"/>
        <v>139481</v>
      </c>
      <c r="J30" s="17"/>
      <c r="K30" s="17">
        <f t="shared" si="1"/>
        <v>4414311</v>
      </c>
      <c r="L30" s="17"/>
      <c r="M30" s="17">
        <v>4553792</v>
      </c>
      <c r="N30" s="17"/>
      <c r="O30" s="17">
        <v>2103134</v>
      </c>
      <c r="P30" s="17"/>
      <c r="Q30" s="17">
        <v>154215</v>
      </c>
      <c r="R30" s="17"/>
      <c r="S30" s="17">
        <v>9553882</v>
      </c>
      <c r="T30" s="17"/>
      <c r="U30" s="17">
        <f t="shared" si="2"/>
        <v>11811231</v>
      </c>
      <c r="V30" s="17"/>
      <c r="W30" s="68" t="s">
        <v>27</v>
      </c>
      <c r="X30" s="17"/>
      <c r="Y30" s="17">
        <v>3272094</v>
      </c>
      <c r="Z30" s="1"/>
      <c r="AA30" s="17">
        <f>4172208-225429</f>
        <v>3946779</v>
      </c>
      <c r="AB30" s="1"/>
      <c r="AC30" s="17">
        <v>225429</v>
      </c>
      <c r="AD30" s="1"/>
      <c r="AE30" s="17">
        <f t="shared" si="3"/>
        <v>-900114</v>
      </c>
      <c r="AF30" s="21"/>
      <c r="AG30" s="17">
        <v>174783</v>
      </c>
      <c r="AH30" s="21"/>
      <c r="AI30" s="17">
        <v>149095</v>
      </c>
      <c r="AJ30" s="1"/>
      <c r="AK30" s="17">
        <v>0</v>
      </c>
      <c r="AL30" s="1"/>
      <c r="AM30" s="1">
        <v>0</v>
      </c>
      <c r="AN30" s="1"/>
      <c r="AO30" s="17">
        <f t="shared" si="4"/>
        <v>-576236</v>
      </c>
      <c r="AP30" s="21"/>
      <c r="AQ30" s="1">
        <v>0</v>
      </c>
      <c r="AR30" s="1"/>
      <c r="AS30" s="1">
        <v>0</v>
      </c>
      <c r="AT30" s="1"/>
      <c r="AU30" s="17">
        <f t="shared" si="5"/>
        <v>9619273</v>
      </c>
      <c r="AV30" s="1"/>
      <c r="AW30" s="68" t="s">
        <v>27</v>
      </c>
      <c r="AX30" s="1"/>
      <c r="AY30" s="1">
        <v>0</v>
      </c>
      <c r="AZ30" s="1"/>
      <c r="BA30" s="1">
        <v>0</v>
      </c>
      <c r="BB30" s="1"/>
      <c r="BC30" s="1">
        <v>0</v>
      </c>
      <c r="BD30" s="1"/>
      <c r="BE30" s="1">
        <v>4414311</v>
      </c>
      <c r="BF30" s="1"/>
      <c r="BG30" s="17">
        <f t="shared" si="15"/>
        <v>4414311</v>
      </c>
      <c r="BH30" s="65"/>
    </row>
    <row r="31" spans="1:60" ht="12.75" hidden="1">
      <c r="A31" s="63" t="s">
        <v>28</v>
      </c>
      <c r="B31" s="79"/>
      <c r="C31" s="17">
        <f t="shared" si="14"/>
        <v>0</v>
      </c>
      <c r="D31" s="17"/>
      <c r="E31" s="17"/>
      <c r="F31" s="17"/>
      <c r="G31" s="17"/>
      <c r="H31" s="17"/>
      <c r="I31" s="17">
        <f t="shared" si="0"/>
        <v>0</v>
      </c>
      <c r="J31" s="17"/>
      <c r="K31" s="17">
        <f t="shared" si="1"/>
        <v>0</v>
      </c>
      <c r="L31" s="17"/>
      <c r="M31" s="17"/>
      <c r="N31" s="17"/>
      <c r="O31" s="17"/>
      <c r="P31" s="17"/>
      <c r="Q31" s="17"/>
      <c r="R31" s="17"/>
      <c r="S31" s="17"/>
      <c r="T31" s="17"/>
      <c r="U31" s="17">
        <f t="shared" si="2"/>
        <v>0</v>
      </c>
      <c r="V31" s="79"/>
      <c r="W31" s="68" t="s">
        <v>28</v>
      </c>
      <c r="X31" s="79"/>
      <c r="Y31" s="17"/>
      <c r="Z31" s="1"/>
      <c r="AA31" s="17"/>
      <c r="AB31" s="1"/>
      <c r="AC31" s="17"/>
      <c r="AD31" s="1"/>
      <c r="AE31" s="17">
        <f t="shared" si="3"/>
        <v>0</v>
      </c>
      <c r="AF31" s="21"/>
      <c r="AG31" s="17"/>
      <c r="AH31" s="21"/>
      <c r="AI31" s="17"/>
      <c r="AJ31" s="1"/>
      <c r="AK31" s="17"/>
      <c r="AL31" s="1"/>
      <c r="AM31" s="1"/>
      <c r="AN31" s="1"/>
      <c r="AO31" s="17">
        <f t="shared" si="4"/>
        <v>0</v>
      </c>
      <c r="AP31" s="21"/>
      <c r="AQ31" s="1">
        <v>0</v>
      </c>
      <c r="AR31" s="1"/>
      <c r="AS31" s="1">
        <v>0</v>
      </c>
      <c r="AT31" s="1"/>
      <c r="AU31" s="17">
        <f t="shared" si="5"/>
        <v>0</v>
      </c>
      <c r="AV31" s="79"/>
      <c r="AW31" s="68" t="s">
        <v>28</v>
      </c>
      <c r="AX31" s="79"/>
      <c r="AY31" s="1"/>
      <c r="AZ31" s="1"/>
      <c r="BA31" s="1"/>
      <c r="BB31" s="1"/>
      <c r="BC31" s="1"/>
      <c r="BD31" s="1"/>
      <c r="BE31" s="1"/>
      <c r="BF31" s="1"/>
      <c r="BG31" s="17">
        <f t="shared" si="15"/>
        <v>0</v>
      </c>
      <c r="BH31" s="65"/>
    </row>
    <row r="32" spans="1:60" ht="12.75">
      <c r="A32" s="63" t="s">
        <v>29</v>
      </c>
      <c r="B32" s="79"/>
      <c r="C32" s="17">
        <f t="shared" si="14"/>
        <v>7465474</v>
      </c>
      <c r="D32" s="17"/>
      <c r="E32" s="17">
        <v>6837953</v>
      </c>
      <c r="F32" s="17"/>
      <c r="G32" s="17">
        <v>14303427</v>
      </c>
      <c r="H32" s="17"/>
      <c r="I32" s="17">
        <f t="shared" si="0"/>
        <v>540763</v>
      </c>
      <c r="J32" s="17"/>
      <c r="K32" s="17">
        <f t="shared" si="1"/>
        <v>34716836</v>
      </c>
      <c r="L32" s="17"/>
      <c r="M32" s="17">
        <v>35257599</v>
      </c>
      <c r="N32" s="17"/>
      <c r="O32" s="17">
        <v>-14633901</v>
      </c>
      <c r="P32" s="17"/>
      <c r="Q32" s="17">
        <v>0</v>
      </c>
      <c r="R32" s="17"/>
      <c r="S32" s="17">
        <v>-6320271</v>
      </c>
      <c r="T32" s="17"/>
      <c r="U32" s="17">
        <f t="shared" si="2"/>
        <v>-20954172</v>
      </c>
      <c r="V32" s="17"/>
      <c r="W32" s="68" t="s">
        <v>29</v>
      </c>
      <c r="X32" s="17"/>
      <c r="Y32" s="17">
        <v>4048831</v>
      </c>
      <c r="Z32" s="1"/>
      <c r="AA32" s="17">
        <f>4149826-272242</f>
        <v>3877584</v>
      </c>
      <c r="AB32" s="1"/>
      <c r="AC32" s="17">
        <v>272242</v>
      </c>
      <c r="AD32" s="1"/>
      <c r="AE32" s="17">
        <f t="shared" si="3"/>
        <v>-100995</v>
      </c>
      <c r="AF32" s="21"/>
      <c r="AG32" s="17">
        <v>-986980</v>
      </c>
      <c r="AH32" s="21"/>
      <c r="AI32" s="17">
        <v>0</v>
      </c>
      <c r="AJ32" s="1"/>
      <c r="AK32" s="17">
        <v>0</v>
      </c>
      <c r="AL32" s="1"/>
      <c r="AM32" s="1">
        <v>0</v>
      </c>
      <c r="AN32" s="1"/>
      <c r="AO32" s="17">
        <f t="shared" si="4"/>
        <v>-1087975</v>
      </c>
      <c r="AP32" s="21"/>
      <c r="AQ32" s="1">
        <v>0</v>
      </c>
      <c r="AR32" s="1"/>
      <c r="AS32" s="1">
        <v>0</v>
      </c>
      <c r="AT32" s="1"/>
      <c r="AU32" s="17">
        <f t="shared" si="5"/>
        <v>6924711</v>
      </c>
      <c r="AV32" s="1"/>
      <c r="AW32" s="68" t="s">
        <v>29</v>
      </c>
      <c r="AX32" s="1"/>
      <c r="AY32" s="1">
        <f>675000+15779932</f>
        <v>16454932</v>
      </c>
      <c r="AZ32" s="1"/>
      <c r="BA32" s="1">
        <v>0</v>
      </c>
      <c r="BB32" s="1"/>
      <c r="BC32" s="1">
        <v>0</v>
      </c>
      <c r="BD32" s="1"/>
      <c r="BE32" s="1">
        <f>5000000+12206+72390+41127+234464+12901717</f>
        <v>18261904</v>
      </c>
      <c r="BF32" s="1"/>
      <c r="BG32" s="17">
        <f t="shared" si="15"/>
        <v>34716836</v>
      </c>
      <c r="BH32" s="65"/>
    </row>
    <row r="33" spans="1:60" ht="12.75" hidden="1">
      <c r="A33" s="63" t="s">
        <v>30</v>
      </c>
      <c r="B33" s="79"/>
      <c r="C33" s="17">
        <f t="shared" si="14"/>
        <v>0</v>
      </c>
      <c r="D33" s="17"/>
      <c r="E33" s="17"/>
      <c r="F33" s="17"/>
      <c r="G33" s="17"/>
      <c r="H33" s="17"/>
      <c r="I33" s="17">
        <f t="shared" si="0"/>
        <v>0</v>
      </c>
      <c r="J33" s="17"/>
      <c r="K33" s="17">
        <f t="shared" si="1"/>
        <v>0</v>
      </c>
      <c r="L33" s="17"/>
      <c r="M33" s="17"/>
      <c r="N33" s="17"/>
      <c r="O33" s="17"/>
      <c r="P33" s="17"/>
      <c r="Q33" s="17"/>
      <c r="R33" s="17"/>
      <c r="S33" s="17"/>
      <c r="T33" s="17"/>
      <c r="U33" s="17">
        <f t="shared" si="2"/>
        <v>0</v>
      </c>
      <c r="V33" s="79"/>
      <c r="W33" s="68" t="s">
        <v>30</v>
      </c>
      <c r="X33" s="79"/>
      <c r="Y33" s="17"/>
      <c r="Z33" s="1"/>
      <c r="AA33" s="17"/>
      <c r="AB33" s="1"/>
      <c r="AC33" s="17"/>
      <c r="AD33" s="1"/>
      <c r="AE33" s="17">
        <f t="shared" si="3"/>
        <v>0</v>
      </c>
      <c r="AF33" s="21"/>
      <c r="AG33" s="17"/>
      <c r="AH33" s="21"/>
      <c r="AI33" s="17"/>
      <c r="AJ33" s="1"/>
      <c r="AK33" s="17"/>
      <c r="AL33" s="1"/>
      <c r="AM33" s="1"/>
      <c r="AN33" s="1"/>
      <c r="AO33" s="17">
        <f t="shared" si="4"/>
        <v>0</v>
      </c>
      <c r="AP33" s="21"/>
      <c r="AQ33" s="1">
        <v>0</v>
      </c>
      <c r="AR33" s="1"/>
      <c r="AS33" s="1">
        <v>0</v>
      </c>
      <c r="AT33" s="1"/>
      <c r="AU33" s="17">
        <f t="shared" si="5"/>
        <v>0</v>
      </c>
      <c r="AV33" s="79"/>
      <c r="AW33" s="68" t="s">
        <v>30</v>
      </c>
      <c r="AX33" s="79"/>
      <c r="AY33" s="1"/>
      <c r="AZ33" s="1"/>
      <c r="BA33" s="1"/>
      <c r="BB33" s="1"/>
      <c r="BC33" s="1"/>
      <c r="BD33" s="1"/>
      <c r="BE33" s="1"/>
      <c r="BF33" s="1"/>
      <c r="BG33" s="17">
        <f t="shared" si="15"/>
        <v>0</v>
      </c>
      <c r="BH33" s="65"/>
    </row>
    <row r="34" spans="1:60" ht="12.75" hidden="1">
      <c r="A34" s="63" t="s">
        <v>31</v>
      </c>
      <c r="B34" s="79"/>
      <c r="C34" s="17">
        <f t="shared" si="14"/>
        <v>0</v>
      </c>
      <c r="D34" s="17"/>
      <c r="E34" s="17"/>
      <c r="F34" s="17"/>
      <c r="G34" s="17"/>
      <c r="H34" s="17"/>
      <c r="I34" s="17">
        <f t="shared" si="0"/>
        <v>0</v>
      </c>
      <c r="J34" s="17"/>
      <c r="K34" s="17">
        <f t="shared" si="1"/>
        <v>0</v>
      </c>
      <c r="L34" s="17"/>
      <c r="M34" s="17"/>
      <c r="N34" s="17"/>
      <c r="O34" s="17"/>
      <c r="P34" s="17"/>
      <c r="Q34" s="17"/>
      <c r="R34" s="17"/>
      <c r="S34" s="17"/>
      <c r="T34" s="17"/>
      <c r="U34" s="17">
        <f t="shared" si="2"/>
        <v>0</v>
      </c>
      <c r="V34" s="79"/>
      <c r="W34" s="68" t="s">
        <v>31</v>
      </c>
      <c r="X34" s="79"/>
      <c r="Y34" s="17"/>
      <c r="Z34" s="1"/>
      <c r="AA34" s="17"/>
      <c r="AB34" s="1"/>
      <c r="AC34" s="17"/>
      <c r="AD34" s="1"/>
      <c r="AE34" s="17">
        <f t="shared" si="3"/>
        <v>0</v>
      </c>
      <c r="AF34" s="21"/>
      <c r="AG34" s="17"/>
      <c r="AH34" s="21"/>
      <c r="AI34" s="17"/>
      <c r="AJ34" s="1"/>
      <c r="AK34" s="17"/>
      <c r="AL34" s="1"/>
      <c r="AM34" s="1"/>
      <c r="AN34" s="1"/>
      <c r="AO34" s="17">
        <f t="shared" si="4"/>
        <v>0</v>
      </c>
      <c r="AP34" s="21"/>
      <c r="AQ34" s="1">
        <v>0</v>
      </c>
      <c r="AR34" s="1"/>
      <c r="AS34" s="1">
        <v>0</v>
      </c>
      <c r="AT34" s="1"/>
      <c r="AU34" s="17">
        <f t="shared" si="5"/>
        <v>0</v>
      </c>
      <c r="AV34" s="79"/>
      <c r="AW34" s="68" t="s">
        <v>31</v>
      </c>
      <c r="AX34" s="79"/>
      <c r="AY34" s="1"/>
      <c r="AZ34" s="1"/>
      <c r="BA34" s="1"/>
      <c r="BB34" s="1"/>
      <c r="BC34" s="1"/>
      <c r="BD34" s="1"/>
      <c r="BE34" s="1"/>
      <c r="BF34" s="1"/>
      <c r="BG34" s="17">
        <f t="shared" si="15"/>
        <v>0</v>
      </c>
      <c r="BH34" s="65"/>
    </row>
    <row r="35" spans="1:60" ht="12.75" hidden="1">
      <c r="A35" s="63" t="s">
        <v>32</v>
      </c>
      <c r="B35" s="79"/>
      <c r="C35" s="17">
        <f t="shared" si="14"/>
        <v>0</v>
      </c>
      <c r="D35" s="17"/>
      <c r="E35" s="17">
        <v>0</v>
      </c>
      <c r="F35" s="17"/>
      <c r="G35" s="17">
        <v>0</v>
      </c>
      <c r="H35" s="17"/>
      <c r="I35" s="17">
        <f t="shared" si="0"/>
        <v>0</v>
      </c>
      <c r="J35" s="17"/>
      <c r="K35" s="17">
        <f t="shared" si="1"/>
        <v>0</v>
      </c>
      <c r="L35" s="17"/>
      <c r="M35" s="17">
        <v>0</v>
      </c>
      <c r="N35" s="17"/>
      <c r="O35" s="17">
        <v>0</v>
      </c>
      <c r="P35" s="17"/>
      <c r="Q35" s="17">
        <v>0</v>
      </c>
      <c r="R35" s="17"/>
      <c r="S35" s="17">
        <v>0</v>
      </c>
      <c r="T35" s="17"/>
      <c r="U35" s="17">
        <f t="shared" si="2"/>
        <v>0</v>
      </c>
      <c r="V35" s="79"/>
      <c r="W35" s="68" t="s">
        <v>32</v>
      </c>
      <c r="X35" s="79"/>
      <c r="Y35" s="17">
        <v>0</v>
      </c>
      <c r="Z35" s="1"/>
      <c r="AA35" s="17">
        <v>0</v>
      </c>
      <c r="AB35" s="1"/>
      <c r="AC35" s="17">
        <v>0</v>
      </c>
      <c r="AD35" s="1"/>
      <c r="AE35" s="17">
        <f t="shared" si="3"/>
        <v>0</v>
      </c>
      <c r="AF35" s="21"/>
      <c r="AG35" s="17">
        <v>0</v>
      </c>
      <c r="AH35" s="21"/>
      <c r="AI35" s="17">
        <v>0</v>
      </c>
      <c r="AJ35" s="1"/>
      <c r="AK35" s="17">
        <v>0</v>
      </c>
      <c r="AL35" s="1"/>
      <c r="AM35" s="1">
        <v>0</v>
      </c>
      <c r="AN35" s="1"/>
      <c r="AO35" s="17">
        <f t="shared" si="4"/>
        <v>0</v>
      </c>
      <c r="AP35" s="21"/>
      <c r="AQ35" s="1">
        <v>0</v>
      </c>
      <c r="AR35" s="1"/>
      <c r="AS35" s="1">
        <v>0</v>
      </c>
      <c r="AT35" s="1"/>
      <c r="AU35" s="17">
        <f t="shared" si="5"/>
        <v>0</v>
      </c>
      <c r="AV35" s="79"/>
      <c r="AW35" s="68" t="s">
        <v>32</v>
      </c>
      <c r="AX35" s="79"/>
      <c r="AY35" s="1">
        <v>0</v>
      </c>
      <c r="AZ35" s="1"/>
      <c r="BA35" s="1">
        <v>0</v>
      </c>
      <c r="BB35" s="1"/>
      <c r="BC35" s="1">
        <v>0</v>
      </c>
      <c r="BD35" s="1"/>
      <c r="BE35" s="1">
        <v>0</v>
      </c>
      <c r="BF35" s="1"/>
      <c r="BG35" s="17">
        <f t="shared" si="15"/>
        <v>0</v>
      </c>
      <c r="BH35" s="65"/>
    </row>
    <row r="36" spans="1:60" ht="12.75" hidden="1">
      <c r="A36" s="63" t="s">
        <v>33</v>
      </c>
      <c r="B36" s="79"/>
      <c r="C36" s="17">
        <f t="shared" si="14"/>
        <v>0</v>
      </c>
      <c r="D36" s="17"/>
      <c r="E36" s="17"/>
      <c r="F36" s="17"/>
      <c r="G36" s="17"/>
      <c r="H36" s="17"/>
      <c r="I36" s="17">
        <f t="shared" si="0"/>
        <v>0</v>
      </c>
      <c r="J36" s="17"/>
      <c r="K36" s="17">
        <f t="shared" si="1"/>
        <v>0</v>
      </c>
      <c r="L36" s="17"/>
      <c r="M36" s="17"/>
      <c r="N36" s="17"/>
      <c r="O36" s="17"/>
      <c r="P36" s="17"/>
      <c r="Q36" s="17"/>
      <c r="R36" s="17"/>
      <c r="S36" s="17"/>
      <c r="T36" s="17"/>
      <c r="U36" s="17">
        <f t="shared" si="2"/>
        <v>0</v>
      </c>
      <c r="V36" s="17"/>
      <c r="W36" s="68" t="s">
        <v>33</v>
      </c>
      <c r="X36" s="17"/>
      <c r="Y36" s="17"/>
      <c r="Z36" s="1"/>
      <c r="AA36" s="17"/>
      <c r="AB36" s="1"/>
      <c r="AC36" s="17"/>
      <c r="AD36" s="1"/>
      <c r="AE36" s="17">
        <f t="shared" si="3"/>
        <v>0</v>
      </c>
      <c r="AF36" s="21"/>
      <c r="AG36" s="17"/>
      <c r="AH36" s="21"/>
      <c r="AI36" s="17"/>
      <c r="AJ36" s="1"/>
      <c r="AK36" s="17"/>
      <c r="AL36" s="1"/>
      <c r="AM36" s="1"/>
      <c r="AN36" s="1"/>
      <c r="AO36" s="17">
        <f t="shared" si="4"/>
        <v>0</v>
      </c>
      <c r="AP36" s="21"/>
      <c r="AQ36" s="1">
        <v>0</v>
      </c>
      <c r="AR36" s="1"/>
      <c r="AS36" s="1">
        <v>0</v>
      </c>
      <c r="AT36" s="1"/>
      <c r="AU36" s="17">
        <f t="shared" si="5"/>
        <v>0</v>
      </c>
      <c r="AV36" s="1"/>
      <c r="AW36" s="68" t="s">
        <v>33</v>
      </c>
      <c r="AX36" s="1"/>
      <c r="AY36" s="1"/>
      <c r="AZ36" s="1"/>
      <c r="BA36" s="1"/>
      <c r="BB36" s="1"/>
      <c r="BC36" s="1"/>
      <c r="BD36" s="1"/>
      <c r="BE36" s="1"/>
      <c r="BF36" s="1"/>
      <c r="BG36" s="17">
        <f t="shared" si="15"/>
        <v>0</v>
      </c>
      <c r="BH36" s="65"/>
    </row>
    <row r="37" spans="1:60" ht="12.75" hidden="1">
      <c r="A37" s="63" t="s">
        <v>34</v>
      </c>
      <c r="B37" s="79"/>
      <c r="C37" s="17">
        <f t="shared" si="14"/>
        <v>0</v>
      </c>
      <c r="D37" s="17"/>
      <c r="E37" s="17"/>
      <c r="F37" s="17"/>
      <c r="G37" s="17"/>
      <c r="H37" s="17"/>
      <c r="I37" s="17">
        <f t="shared" si="0"/>
        <v>0</v>
      </c>
      <c r="J37" s="17"/>
      <c r="K37" s="17">
        <f t="shared" si="1"/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>
        <f t="shared" si="2"/>
        <v>0</v>
      </c>
      <c r="V37" s="17"/>
      <c r="W37" s="68" t="s">
        <v>34</v>
      </c>
      <c r="X37" s="17"/>
      <c r="Y37" s="17"/>
      <c r="Z37" s="1"/>
      <c r="AA37" s="17"/>
      <c r="AB37" s="1"/>
      <c r="AC37" s="17"/>
      <c r="AD37" s="1"/>
      <c r="AE37" s="17">
        <f t="shared" si="3"/>
        <v>0</v>
      </c>
      <c r="AF37" s="21"/>
      <c r="AG37" s="17"/>
      <c r="AH37" s="21"/>
      <c r="AI37" s="17"/>
      <c r="AJ37" s="1"/>
      <c r="AK37" s="17"/>
      <c r="AL37" s="1"/>
      <c r="AM37" s="1"/>
      <c r="AN37" s="1"/>
      <c r="AO37" s="17">
        <f t="shared" si="4"/>
        <v>0</v>
      </c>
      <c r="AP37" s="21"/>
      <c r="AQ37" s="1">
        <v>0</v>
      </c>
      <c r="AR37" s="1"/>
      <c r="AS37" s="1">
        <v>0</v>
      </c>
      <c r="AT37" s="1"/>
      <c r="AU37" s="17">
        <f t="shared" si="5"/>
        <v>0</v>
      </c>
      <c r="AV37" s="1"/>
      <c r="AW37" s="68" t="s">
        <v>34</v>
      </c>
      <c r="AX37" s="1"/>
      <c r="AY37" s="1"/>
      <c r="AZ37" s="1"/>
      <c r="BA37" s="1"/>
      <c r="BB37" s="1"/>
      <c r="BC37" s="1"/>
      <c r="BD37" s="1"/>
      <c r="BE37" s="1"/>
      <c r="BF37" s="1"/>
      <c r="BG37" s="17">
        <f t="shared" si="15"/>
        <v>0</v>
      </c>
      <c r="BH37" s="65"/>
    </row>
    <row r="38" spans="1:60" ht="12.75" hidden="1">
      <c r="A38" s="63" t="s">
        <v>35</v>
      </c>
      <c r="B38" s="79"/>
      <c r="C38" s="17">
        <f t="shared" si="14"/>
        <v>0</v>
      </c>
      <c r="D38" s="17"/>
      <c r="E38" s="17"/>
      <c r="F38" s="17"/>
      <c r="G38" s="17"/>
      <c r="H38" s="17"/>
      <c r="I38" s="17">
        <f t="shared" si="0"/>
        <v>0</v>
      </c>
      <c r="J38" s="17"/>
      <c r="K38" s="17">
        <f t="shared" si="1"/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>
        <f t="shared" si="2"/>
        <v>0</v>
      </c>
      <c r="V38" s="79"/>
      <c r="W38" s="68" t="s">
        <v>35</v>
      </c>
      <c r="X38" s="79"/>
      <c r="Y38" s="17"/>
      <c r="Z38" s="1"/>
      <c r="AA38" s="17"/>
      <c r="AB38" s="1"/>
      <c r="AC38" s="17"/>
      <c r="AD38" s="1"/>
      <c r="AE38" s="17">
        <f t="shared" si="3"/>
        <v>0</v>
      </c>
      <c r="AF38" s="21"/>
      <c r="AG38" s="17"/>
      <c r="AH38" s="21"/>
      <c r="AI38" s="17"/>
      <c r="AJ38" s="1"/>
      <c r="AK38" s="17"/>
      <c r="AL38" s="1"/>
      <c r="AM38" s="1"/>
      <c r="AN38" s="1"/>
      <c r="AO38" s="17">
        <f t="shared" si="4"/>
        <v>0</v>
      </c>
      <c r="AP38" s="21"/>
      <c r="AQ38" s="1">
        <v>0</v>
      </c>
      <c r="AR38" s="1"/>
      <c r="AS38" s="1">
        <v>0</v>
      </c>
      <c r="AT38" s="1"/>
      <c r="AU38" s="17">
        <f t="shared" si="5"/>
        <v>0</v>
      </c>
      <c r="AV38" s="79"/>
      <c r="AW38" s="68" t="s">
        <v>35</v>
      </c>
      <c r="AX38" s="79"/>
      <c r="AY38" s="1"/>
      <c r="AZ38" s="1"/>
      <c r="BA38" s="1"/>
      <c r="BB38" s="1"/>
      <c r="BC38" s="1"/>
      <c r="BD38" s="1"/>
      <c r="BE38" s="1"/>
      <c r="BF38" s="1"/>
      <c r="BG38" s="17">
        <f t="shared" si="15"/>
        <v>0</v>
      </c>
      <c r="BH38" s="65"/>
    </row>
    <row r="39" spans="1:60" ht="12.75" hidden="1">
      <c r="A39" s="63" t="s">
        <v>233</v>
      </c>
      <c r="B39" s="79"/>
      <c r="C39" s="17">
        <f t="shared" si="14"/>
        <v>0</v>
      </c>
      <c r="D39" s="17"/>
      <c r="E39" s="17"/>
      <c r="F39" s="17"/>
      <c r="G39" s="17"/>
      <c r="H39" s="17"/>
      <c r="I39" s="17">
        <f t="shared" si="0"/>
        <v>0</v>
      </c>
      <c r="J39" s="17"/>
      <c r="K39" s="17">
        <f t="shared" si="1"/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>
        <f t="shared" si="2"/>
        <v>0</v>
      </c>
      <c r="V39" s="79"/>
      <c r="W39" s="68" t="s">
        <v>233</v>
      </c>
      <c r="X39" s="79"/>
      <c r="Y39" s="17"/>
      <c r="Z39" s="1"/>
      <c r="AA39" s="17"/>
      <c r="AB39" s="1"/>
      <c r="AC39" s="17"/>
      <c r="AD39" s="1"/>
      <c r="AE39" s="17">
        <f t="shared" si="3"/>
        <v>0</v>
      </c>
      <c r="AF39" s="21"/>
      <c r="AG39" s="17"/>
      <c r="AH39" s="21"/>
      <c r="AI39" s="17"/>
      <c r="AJ39" s="1"/>
      <c r="AK39" s="17"/>
      <c r="AL39" s="1"/>
      <c r="AM39" s="1"/>
      <c r="AN39" s="1"/>
      <c r="AO39" s="17">
        <f t="shared" si="4"/>
        <v>0</v>
      </c>
      <c r="AP39" s="21"/>
      <c r="AQ39" s="1">
        <v>0</v>
      </c>
      <c r="AR39" s="1"/>
      <c r="AS39" s="1">
        <v>0</v>
      </c>
      <c r="AT39" s="1"/>
      <c r="AU39" s="17">
        <f t="shared" si="5"/>
        <v>0</v>
      </c>
      <c r="AV39" s="79"/>
      <c r="AW39" s="68" t="s">
        <v>233</v>
      </c>
      <c r="AX39" s="79"/>
      <c r="AY39" s="1"/>
      <c r="AZ39" s="1"/>
      <c r="BA39" s="1"/>
      <c r="BB39" s="1"/>
      <c r="BC39" s="1"/>
      <c r="BD39" s="1"/>
      <c r="BE39" s="1"/>
      <c r="BF39" s="1"/>
      <c r="BG39" s="17">
        <f t="shared" si="15"/>
        <v>0</v>
      </c>
      <c r="BH39" s="65"/>
    </row>
    <row r="40" spans="1:60" ht="12.75" hidden="1">
      <c r="A40" s="63" t="s">
        <v>258</v>
      </c>
      <c r="B40" s="79"/>
      <c r="C40" s="17">
        <f t="shared" si="14"/>
        <v>0</v>
      </c>
      <c r="D40" s="17"/>
      <c r="E40" s="17"/>
      <c r="F40" s="17"/>
      <c r="G40" s="17"/>
      <c r="H40" s="17"/>
      <c r="I40" s="17">
        <f t="shared" si="0"/>
        <v>0</v>
      </c>
      <c r="J40" s="17"/>
      <c r="K40" s="17">
        <f t="shared" si="1"/>
        <v>0</v>
      </c>
      <c r="L40" s="17"/>
      <c r="M40" s="17"/>
      <c r="N40" s="17"/>
      <c r="O40" s="17"/>
      <c r="P40" s="17"/>
      <c r="Q40" s="17"/>
      <c r="R40" s="17"/>
      <c r="S40" s="17"/>
      <c r="T40" s="17"/>
      <c r="U40" s="17">
        <f t="shared" si="2"/>
        <v>0</v>
      </c>
      <c r="V40" s="79"/>
      <c r="W40" s="68" t="s">
        <v>36</v>
      </c>
      <c r="X40" s="79"/>
      <c r="Y40" s="17"/>
      <c r="Z40" s="1"/>
      <c r="AA40" s="17"/>
      <c r="AB40" s="1"/>
      <c r="AC40" s="17"/>
      <c r="AD40" s="1"/>
      <c r="AE40" s="17">
        <f t="shared" si="3"/>
        <v>0</v>
      </c>
      <c r="AF40" s="21"/>
      <c r="AG40" s="17"/>
      <c r="AH40" s="21"/>
      <c r="AI40" s="17"/>
      <c r="AJ40" s="1"/>
      <c r="AK40" s="17"/>
      <c r="AL40" s="1"/>
      <c r="AM40" s="1"/>
      <c r="AN40" s="1"/>
      <c r="AO40" s="17">
        <f t="shared" si="4"/>
        <v>0</v>
      </c>
      <c r="AP40" s="21"/>
      <c r="AQ40" s="1">
        <v>0</v>
      </c>
      <c r="AR40" s="1"/>
      <c r="AS40" s="1">
        <v>0</v>
      </c>
      <c r="AT40" s="1"/>
      <c r="AU40" s="17">
        <f t="shared" si="5"/>
        <v>0</v>
      </c>
      <c r="AV40" s="79"/>
      <c r="AW40" s="68" t="s">
        <v>36</v>
      </c>
      <c r="AX40" s="79"/>
      <c r="AY40" s="1"/>
      <c r="AZ40" s="1"/>
      <c r="BA40" s="1"/>
      <c r="BB40" s="1"/>
      <c r="BC40" s="1"/>
      <c r="BD40" s="1"/>
      <c r="BE40" s="1"/>
      <c r="BF40" s="1"/>
      <c r="BG40" s="17">
        <f t="shared" si="15"/>
        <v>0</v>
      </c>
      <c r="BH40" s="65"/>
    </row>
    <row r="41" spans="1:60" ht="12.75" hidden="1">
      <c r="A41" s="63" t="s">
        <v>259</v>
      </c>
      <c r="B41" s="79"/>
      <c r="C41" s="17">
        <f t="shared" si="14"/>
        <v>0</v>
      </c>
      <c r="D41" s="17"/>
      <c r="E41" s="17">
        <v>0</v>
      </c>
      <c r="F41" s="17"/>
      <c r="G41" s="17">
        <v>0</v>
      </c>
      <c r="H41" s="17"/>
      <c r="I41" s="17">
        <f t="shared" si="0"/>
        <v>0</v>
      </c>
      <c r="J41" s="17"/>
      <c r="K41" s="17">
        <f t="shared" si="1"/>
        <v>0</v>
      </c>
      <c r="L41" s="17"/>
      <c r="M41" s="17">
        <v>0</v>
      </c>
      <c r="N41" s="17"/>
      <c r="O41" s="17">
        <v>0</v>
      </c>
      <c r="P41" s="17"/>
      <c r="Q41" s="17">
        <v>0</v>
      </c>
      <c r="R41" s="17"/>
      <c r="S41" s="17">
        <v>0</v>
      </c>
      <c r="T41" s="17"/>
      <c r="U41" s="17">
        <f t="shared" si="2"/>
        <v>0</v>
      </c>
      <c r="V41" s="79"/>
      <c r="W41" s="68" t="s">
        <v>37</v>
      </c>
      <c r="X41" s="79"/>
      <c r="Y41" s="17">
        <v>0</v>
      </c>
      <c r="Z41" s="1"/>
      <c r="AA41" s="17">
        <v>0</v>
      </c>
      <c r="AB41" s="1"/>
      <c r="AC41" s="17">
        <v>0</v>
      </c>
      <c r="AD41" s="1"/>
      <c r="AE41" s="17">
        <f t="shared" si="3"/>
        <v>0</v>
      </c>
      <c r="AF41" s="21"/>
      <c r="AG41" s="17">
        <v>0</v>
      </c>
      <c r="AH41" s="21"/>
      <c r="AI41" s="17">
        <v>0</v>
      </c>
      <c r="AJ41" s="1"/>
      <c r="AK41" s="17">
        <v>0</v>
      </c>
      <c r="AL41" s="1"/>
      <c r="AM41" s="1">
        <v>0</v>
      </c>
      <c r="AN41" s="1"/>
      <c r="AO41" s="17">
        <f t="shared" si="4"/>
        <v>0</v>
      </c>
      <c r="AP41" s="21"/>
      <c r="AQ41" s="1">
        <v>0</v>
      </c>
      <c r="AR41" s="1"/>
      <c r="AS41" s="1">
        <v>0</v>
      </c>
      <c r="AT41" s="1"/>
      <c r="AU41" s="17">
        <f t="shared" si="5"/>
        <v>0</v>
      </c>
      <c r="AV41" s="79"/>
      <c r="AW41" s="68" t="s">
        <v>37</v>
      </c>
      <c r="AX41" s="79"/>
      <c r="AY41" s="1">
        <v>0</v>
      </c>
      <c r="AZ41" s="1"/>
      <c r="BA41" s="1">
        <v>0</v>
      </c>
      <c r="BB41" s="1"/>
      <c r="BC41" s="1">
        <v>0</v>
      </c>
      <c r="BD41" s="1"/>
      <c r="BE41" s="1">
        <v>0</v>
      </c>
      <c r="BF41" s="1"/>
      <c r="BG41" s="17">
        <f t="shared" si="15"/>
        <v>0</v>
      </c>
      <c r="BH41" s="65"/>
    </row>
    <row r="42" spans="1:60" ht="12.75">
      <c r="A42" s="63" t="s">
        <v>38</v>
      </c>
      <c r="B42" s="79"/>
      <c r="C42" s="17">
        <f t="shared" si="14"/>
        <v>2120592</v>
      </c>
      <c r="D42" s="17"/>
      <c r="E42" s="17">
        <v>6875332</v>
      </c>
      <c r="F42" s="17"/>
      <c r="G42" s="17">
        <v>8995924</v>
      </c>
      <c r="H42" s="17"/>
      <c r="I42" s="17">
        <f t="shared" si="0"/>
        <v>362148</v>
      </c>
      <c r="J42" s="17"/>
      <c r="K42" s="17">
        <f t="shared" si="1"/>
        <v>2366696</v>
      </c>
      <c r="L42" s="17"/>
      <c r="M42" s="17">
        <v>2728844</v>
      </c>
      <c r="N42" s="17"/>
      <c r="O42" s="17">
        <v>2156795</v>
      </c>
      <c r="P42" s="17"/>
      <c r="Q42" s="17">
        <v>0</v>
      </c>
      <c r="R42" s="17"/>
      <c r="S42" s="17">
        <v>4110285</v>
      </c>
      <c r="T42" s="17"/>
      <c r="U42" s="17">
        <f t="shared" si="2"/>
        <v>6267080</v>
      </c>
      <c r="V42" s="17"/>
      <c r="W42" s="68" t="s">
        <v>38</v>
      </c>
      <c r="X42" s="17"/>
      <c r="Y42" s="17">
        <v>3976399</v>
      </c>
      <c r="Z42" s="1"/>
      <c r="AA42" s="17">
        <f>3742259-189488</f>
        <v>3552771</v>
      </c>
      <c r="AB42" s="1"/>
      <c r="AC42" s="17">
        <v>189488</v>
      </c>
      <c r="AD42" s="1"/>
      <c r="AE42" s="17">
        <f t="shared" si="3"/>
        <v>234140</v>
      </c>
      <c r="AF42" s="21"/>
      <c r="AG42" s="17">
        <v>163220</v>
      </c>
      <c r="AH42" s="21"/>
      <c r="AI42" s="17">
        <v>0</v>
      </c>
      <c r="AJ42" s="1"/>
      <c r="AK42" s="17">
        <v>0</v>
      </c>
      <c r="AL42" s="1"/>
      <c r="AM42" s="1">
        <v>0</v>
      </c>
      <c r="AN42" s="1"/>
      <c r="AO42" s="17">
        <f t="shared" si="4"/>
        <v>397360</v>
      </c>
      <c r="AP42" s="21"/>
      <c r="AQ42" s="1">
        <v>0</v>
      </c>
      <c r="AR42" s="1"/>
      <c r="AS42" s="1">
        <v>0</v>
      </c>
      <c r="AT42" s="1"/>
      <c r="AU42" s="17">
        <f t="shared" si="5"/>
        <v>1758444</v>
      </c>
      <c r="AV42" s="1"/>
      <c r="AW42" s="68" t="s">
        <v>38</v>
      </c>
      <c r="AX42" s="1"/>
      <c r="AY42" s="1">
        <v>90000</v>
      </c>
      <c r="AZ42" s="1"/>
      <c r="BA42" s="1">
        <v>0</v>
      </c>
      <c r="BB42" s="1"/>
      <c r="BC42" s="1">
        <v>0</v>
      </c>
      <c r="BD42" s="1"/>
      <c r="BE42" s="1">
        <f>117074+2159622</f>
        <v>2276696</v>
      </c>
      <c r="BF42" s="1"/>
      <c r="BG42" s="17">
        <f t="shared" si="15"/>
        <v>2366696</v>
      </c>
      <c r="BH42" s="65"/>
    </row>
    <row r="43" spans="1:60" ht="12.75" hidden="1">
      <c r="A43" s="63" t="s">
        <v>168</v>
      </c>
      <c r="B43" s="79"/>
      <c r="C43" s="17">
        <f t="shared" si="14"/>
        <v>0</v>
      </c>
      <c r="D43" s="17"/>
      <c r="E43" s="17">
        <v>0</v>
      </c>
      <c r="F43" s="17"/>
      <c r="G43" s="17">
        <v>0</v>
      </c>
      <c r="H43" s="17"/>
      <c r="I43" s="17">
        <f t="shared" si="0"/>
        <v>0</v>
      </c>
      <c r="J43" s="17"/>
      <c r="K43" s="17">
        <f t="shared" si="1"/>
        <v>0</v>
      </c>
      <c r="L43" s="17"/>
      <c r="M43" s="17">
        <v>0</v>
      </c>
      <c r="N43" s="17"/>
      <c r="O43" s="17">
        <v>0</v>
      </c>
      <c r="P43" s="17"/>
      <c r="Q43" s="17">
        <v>0</v>
      </c>
      <c r="R43" s="17"/>
      <c r="S43" s="17">
        <v>0</v>
      </c>
      <c r="T43" s="17"/>
      <c r="U43" s="17">
        <f t="shared" si="2"/>
        <v>0</v>
      </c>
      <c r="V43" s="79"/>
      <c r="W43" s="68" t="s">
        <v>168</v>
      </c>
      <c r="X43" s="79"/>
      <c r="Y43" s="17">
        <v>0</v>
      </c>
      <c r="Z43" s="1"/>
      <c r="AA43" s="17">
        <v>0</v>
      </c>
      <c r="AB43" s="1"/>
      <c r="AC43" s="17">
        <v>0</v>
      </c>
      <c r="AD43" s="1"/>
      <c r="AE43" s="17">
        <f t="shared" si="3"/>
        <v>0</v>
      </c>
      <c r="AF43" s="21"/>
      <c r="AG43" s="17">
        <v>0</v>
      </c>
      <c r="AH43" s="21"/>
      <c r="AI43" s="17">
        <v>0</v>
      </c>
      <c r="AJ43" s="1"/>
      <c r="AK43" s="17">
        <v>0</v>
      </c>
      <c r="AL43" s="1"/>
      <c r="AM43" s="1">
        <v>0</v>
      </c>
      <c r="AN43" s="1"/>
      <c r="AO43" s="17">
        <f t="shared" si="4"/>
        <v>0</v>
      </c>
      <c r="AP43" s="21"/>
      <c r="AQ43" s="1">
        <v>0</v>
      </c>
      <c r="AR43" s="1"/>
      <c r="AS43" s="1">
        <v>0</v>
      </c>
      <c r="AT43" s="1"/>
      <c r="AU43" s="17">
        <f t="shared" si="5"/>
        <v>0</v>
      </c>
      <c r="AV43" s="79"/>
      <c r="AW43" s="68" t="s">
        <v>168</v>
      </c>
      <c r="AX43" s="79"/>
      <c r="AY43" s="1">
        <v>0</v>
      </c>
      <c r="AZ43" s="1"/>
      <c r="BA43" s="1">
        <v>0</v>
      </c>
      <c r="BB43" s="1"/>
      <c r="BC43" s="1">
        <v>0</v>
      </c>
      <c r="BD43" s="1"/>
      <c r="BE43" s="1">
        <v>0</v>
      </c>
      <c r="BF43" s="1"/>
      <c r="BG43" s="17">
        <f t="shared" si="15"/>
        <v>0</v>
      </c>
      <c r="BH43" s="65"/>
    </row>
    <row r="44" spans="1:60" ht="12.75" hidden="1">
      <c r="A44" s="63" t="s">
        <v>39</v>
      </c>
      <c r="B44" s="79"/>
      <c r="C44" s="17">
        <f t="shared" si="14"/>
        <v>0</v>
      </c>
      <c r="D44" s="17"/>
      <c r="E44" s="17">
        <v>0</v>
      </c>
      <c r="F44" s="17"/>
      <c r="G44" s="17">
        <v>0</v>
      </c>
      <c r="H44" s="17"/>
      <c r="I44" s="17">
        <f t="shared" si="0"/>
        <v>0</v>
      </c>
      <c r="J44" s="17"/>
      <c r="K44" s="17">
        <f t="shared" si="1"/>
        <v>0</v>
      </c>
      <c r="L44" s="17"/>
      <c r="M44" s="17">
        <v>0</v>
      </c>
      <c r="N44" s="17"/>
      <c r="O44" s="17">
        <v>0</v>
      </c>
      <c r="P44" s="17"/>
      <c r="Q44" s="17">
        <v>0</v>
      </c>
      <c r="R44" s="17"/>
      <c r="S44" s="17">
        <v>0</v>
      </c>
      <c r="T44" s="17"/>
      <c r="U44" s="17">
        <f t="shared" si="2"/>
        <v>0</v>
      </c>
      <c r="V44" s="79"/>
      <c r="W44" s="68" t="s">
        <v>39</v>
      </c>
      <c r="X44" s="79"/>
      <c r="Y44" s="17">
        <v>0</v>
      </c>
      <c r="Z44" s="1"/>
      <c r="AA44" s="17">
        <v>0</v>
      </c>
      <c r="AB44" s="1"/>
      <c r="AC44" s="17">
        <v>0</v>
      </c>
      <c r="AD44" s="1"/>
      <c r="AE44" s="17">
        <f t="shared" si="3"/>
        <v>0</v>
      </c>
      <c r="AF44" s="21"/>
      <c r="AG44" s="17">
        <v>0</v>
      </c>
      <c r="AH44" s="21"/>
      <c r="AI44" s="17">
        <v>0</v>
      </c>
      <c r="AJ44" s="1"/>
      <c r="AK44" s="17">
        <v>0</v>
      </c>
      <c r="AL44" s="1"/>
      <c r="AM44" s="1">
        <v>0</v>
      </c>
      <c r="AN44" s="1"/>
      <c r="AO44" s="17">
        <f t="shared" si="4"/>
        <v>0</v>
      </c>
      <c r="AP44" s="21"/>
      <c r="AQ44" s="1">
        <v>0</v>
      </c>
      <c r="AR44" s="1"/>
      <c r="AS44" s="1">
        <v>0</v>
      </c>
      <c r="AT44" s="1"/>
      <c r="AU44" s="17">
        <f t="shared" si="5"/>
        <v>0</v>
      </c>
      <c r="AV44" s="79"/>
      <c r="AW44" s="68" t="s">
        <v>39</v>
      </c>
      <c r="AX44" s="79"/>
      <c r="AY44" s="1">
        <v>0</v>
      </c>
      <c r="AZ44" s="1"/>
      <c r="BA44" s="1">
        <v>0</v>
      </c>
      <c r="BB44" s="1"/>
      <c r="BC44" s="1">
        <v>0</v>
      </c>
      <c r="BD44" s="1"/>
      <c r="BE44" s="1">
        <v>0</v>
      </c>
      <c r="BF44" s="1"/>
      <c r="BG44" s="17">
        <f t="shared" si="15"/>
        <v>0</v>
      </c>
      <c r="BH44" s="65"/>
    </row>
    <row r="45" spans="1:60" ht="12.75">
      <c r="A45" s="63" t="s">
        <v>40</v>
      </c>
      <c r="B45" s="79"/>
      <c r="C45" s="17">
        <f t="shared" si="14"/>
        <v>1570944</v>
      </c>
      <c r="D45" s="17"/>
      <c r="E45" s="17">
        <v>462658</v>
      </c>
      <c r="F45" s="17"/>
      <c r="G45" s="17">
        <v>2033602</v>
      </c>
      <c r="H45" s="17"/>
      <c r="I45" s="17">
        <f t="shared" si="0"/>
        <v>46564</v>
      </c>
      <c r="J45" s="17"/>
      <c r="K45" s="17">
        <f t="shared" si="1"/>
        <v>2406212</v>
      </c>
      <c r="L45" s="17"/>
      <c r="M45" s="17">
        <v>2452776</v>
      </c>
      <c r="N45" s="17"/>
      <c r="O45" s="17">
        <v>462658</v>
      </c>
      <c r="P45" s="17"/>
      <c r="Q45" s="17">
        <v>0</v>
      </c>
      <c r="R45" s="17"/>
      <c r="S45" s="17">
        <v>-881832</v>
      </c>
      <c r="T45" s="17"/>
      <c r="U45" s="17">
        <f t="shared" si="2"/>
        <v>-419174</v>
      </c>
      <c r="V45" s="17"/>
      <c r="W45" s="68" t="s">
        <v>40</v>
      </c>
      <c r="X45" s="17"/>
      <c r="Y45" s="17">
        <v>1116836</v>
      </c>
      <c r="Z45" s="1"/>
      <c r="AA45" s="17">
        <f>982258-30735</f>
        <v>951523</v>
      </c>
      <c r="AB45" s="1"/>
      <c r="AC45" s="17">
        <v>30735</v>
      </c>
      <c r="AD45" s="1"/>
      <c r="AE45" s="17">
        <f t="shared" si="3"/>
        <v>134578</v>
      </c>
      <c r="AF45" s="21"/>
      <c r="AG45" s="17">
        <v>50934</v>
      </c>
      <c r="AH45" s="21"/>
      <c r="AI45" s="17">
        <v>0</v>
      </c>
      <c r="AJ45" s="1"/>
      <c r="AK45" s="17">
        <v>25000</v>
      </c>
      <c r="AL45" s="1"/>
      <c r="AM45" s="1">
        <v>0</v>
      </c>
      <c r="AN45" s="1"/>
      <c r="AO45" s="17">
        <f t="shared" si="4"/>
        <v>160512</v>
      </c>
      <c r="AP45" s="21"/>
      <c r="AQ45" s="1">
        <v>0</v>
      </c>
      <c r="AR45" s="1"/>
      <c r="AS45" s="1">
        <v>0</v>
      </c>
      <c r="AT45" s="1"/>
      <c r="AU45" s="17">
        <f t="shared" si="5"/>
        <v>1524380</v>
      </c>
      <c r="AV45" s="1"/>
      <c r="AW45" s="68" t="s">
        <v>40</v>
      </c>
      <c r="AX45" s="1"/>
      <c r="AY45" s="1">
        <v>0</v>
      </c>
      <c r="AZ45" s="1"/>
      <c r="BA45" s="1">
        <v>0</v>
      </c>
      <c r="BB45" s="1"/>
      <c r="BC45" s="1">
        <v>0</v>
      </c>
      <c r="BD45" s="1"/>
      <c r="BE45" s="1">
        <v>2406212</v>
      </c>
      <c r="BF45" s="1"/>
      <c r="BG45" s="17">
        <f t="shared" si="15"/>
        <v>2406212</v>
      </c>
      <c r="BH45" s="70"/>
    </row>
    <row r="46" spans="1:60" ht="12.75" hidden="1">
      <c r="A46" s="63" t="s">
        <v>41</v>
      </c>
      <c r="B46" s="79"/>
      <c r="C46" s="17">
        <f t="shared" si="14"/>
        <v>0</v>
      </c>
      <c r="D46" s="17"/>
      <c r="E46" s="17">
        <v>0</v>
      </c>
      <c r="F46" s="17"/>
      <c r="G46" s="17">
        <v>0</v>
      </c>
      <c r="H46" s="17"/>
      <c r="I46" s="17">
        <f t="shared" si="0"/>
        <v>0</v>
      </c>
      <c r="J46" s="17"/>
      <c r="K46" s="17">
        <f t="shared" si="1"/>
        <v>0</v>
      </c>
      <c r="L46" s="17"/>
      <c r="M46" s="17">
        <v>0</v>
      </c>
      <c r="N46" s="17"/>
      <c r="O46" s="17">
        <v>0</v>
      </c>
      <c r="P46" s="17"/>
      <c r="Q46" s="17">
        <v>0</v>
      </c>
      <c r="R46" s="17"/>
      <c r="S46" s="17">
        <v>0</v>
      </c>
      <c r="T46" s="17"/>
      <c r="U46" s="17">
        <f t="shared" si="2"/>
        <v>0</v>
      </c>
      <c r="V46" s="79"/>
      <c r="W46" s="68" t="s">
        <v>41</v>
      </c>
      <c r="X46" s="79"/>
      <c r="Y46" s="17">
        <v>0</v>
      </c>
      <c r="Z46" s="1"/>
      <c r="AA46" s="17">
        <v>0</v>
      </c>
      <c r="AB46" s="1"/>
      <c r="AC46" s="17">
        <v>0</v>
      </c>
      <c r="AD46" s="1"/>
      <c r="AE46" s="17">
        <f t="shared" si="3"/>
        <v>0</v>
      </c>
      <c r="AF46" s="21"/>
      <c r="AG46" s="17">
        <v>0</v>
      </c>
      <c r="AH46" s="21"/>
      <c r="AI46" s="17">
        <v>0</v>
      </c>
      <c r="AJ46" s="1"/>
      <c r="AK46" s="17">
        <v>0</v>
      </c>
      <c r="AL46" s="1"/>
      <c r="AM46" s="1">
        <v>0</v>
      </c>
      <c r="AN46" s="1"/>
      <c r="AO46" s="17">
        <f t="shared" si="4"/>
        <v>0</v>
      </c>
      <c r="AP46" s="21"/>
      <c r="AQ46" s="1">
        <v>0</v>
      </c>
      <c r="AR46" s="1"/>
      <c r="AS46" s="1">
        <v>0</v>
      </c>
      <c r="AT46" s="1"/>
      <c r="AU46" s="17">
        <f t="shared" si="5"/>
        <v>0</v>
      </c>
      <c r="AV46" s="79"/>
      <c r="AW46" s="68" t="s">
        <v>41</v>
      </c>
      <c r="AX46" s="79"/>
      <c r="AY46" s="1">
        <v>0</v>
      </c>
      <c r="AZ46" s="1"/>
      <c r="BA46" s="1">
        <v>0</v>
      </c>
      <c r="BB46" s="1"/>
      <c r="BC46" s="1">
        <v>0</v>
      </c>
      <c r="BD46" s="1"/>
      <c r="BE46" s="1">
        <v>0</v>
      </c>
      <c r="BF46" s="1"/>
      <c r="BG46" s="17">
        <f t="shared" si="15"/>
        <v>0</v>
      </c>
      <c r="BH46" s="65"/>
    </row>
    <row r="47" spans="1:60" ht="12.75" hidden="1">
      <c r="A47" s="63" t="s">
        <v>42</v>
      </c>
      <c r="B47" s="79"/>
      <c r="C47" s="17">
        <f t="shared" si="14"/>
        <v>0</v>
      </c>
      <c r="D47" s="17"/>
      <c r="E47" s="17">
        <v>0</v>
      </c>
      <c r="F47" s="17"/>
      <c r="G47" s="17">
        <v>0</v>
      </c>
      <c r="H47" s="17"/>
      <c r="I47" s="17">
        <f t="shared" si="0"/>
        <v>0</v>
      </c>
      <c r="J47" s="17"/>
      <c r="K47" s="17">
        <f t="shared" si="1"/>
        <v>0</v>
      </c>
      <c r="L47" s="17"/>
      <c r="M47" s="17">
        <v>0</v>
      </c>
      <c r="N47" s="17"/>
      <c r="O47" s="17">
        <v>0</v>
      </c>
      <c r="P47" s="17"/>
      <c r="Q47" s="17">
        <v>0</v>
      </c>
      <c r="R47" s="17"/>
      <c r="S47" s="17">
        <v>0</v>
      </c>
      <c r="T47" s="17"/>
      <c r="U47" s="17">
        <f t="shared" si="2"/>
        <v>0</v>
      </c>
      <c r="V47" s="17"/>
      <c r="W47" s="68" t="s">
        <v>42</v>
      </c>
      <c r="X47" s="17"/>
      <c r="Y47" s="17">
        <v>0</v>
      </c>
      <c r="Z47" s="1"/>
      <c r="AA47" s="17">
        <v>0</v>
      </c>
      <c r="AB47" s="1"/>
      <c r="AC47" s="17">
        <v>0</v>
      </c>
      <c r="AD47" s="1"/>
      <c r="AE47" s="17">
        <f t="shared" si="3"/>
        <v>0</v>
      </c>
      <c r="AF47" s="21"/>
      <c r="AG47" s="17">
        <v>0</v>
      </c>
      <c r="AH47" s="21"/>
      <c r="AI47" s="17">
        <v>0</v>
      </c>
      <c r="AJ47" s="1"/>
      <c r="AK47" s="17">
        <v>0</v>
      </c>
      <c r="AL47" s="1"/>
      <c r="AM47" s="1">
        <v>0</v>
      </c>
      <c r="AN47" s="1"/>
      <c r="AO47" s="17">
        <f t="shared" si="4"/>
        <v>0</v>
      </c>
      <c r="AP47" s="21"/>
      <c r="AQ47" s="1">
        <v>0</v>
      </c>
      <c r="AR47" s="1"/>
      <c r="AS47" s="1">
        <v>0</v>
      </c>
      <c r="AT47" s="1"/>
      <c r="AU47" s="17">
        <f t="shared" si="5"/>
        <v>0</v>
      </c>
      <c r="AV47" s="1"/>
      <c r="AW47" s="68" t="s">
        <v>42</v>
      </c>
      <c r="AX47" s="1"/>
      <c r="AY47" s="1">
        <v>0</v>
      </c>
      <c r="AZ47" s="1"/>
      <c r="BA47" s="1">
        <v>0</v>
      </c>
      <c r="BB47" s="1"/>
      <c r="BC47" s="1">
        <v>0</v>
      </c>
      <c r="BD47" s="1"/>
      <c r="BE47" s="1">
        <v>0</v>
      </c>
      <c r="BF47" s="1"/>
      <c r="BG47" s="17">
        <f t="shared" si="15"/>
        <v>0</v>
      </c>
      <c r="BH47" s="65"/>
    </row>
    <row r="48" spans="1:60" ht="12.75">
      <c r="A48" s="63" t="s">
        <v>43</v>
      </c>
      <c r="B48" s="79"/>
      <c r="C48" s="17">
        <f t="shared" si="14"/>
        <v>66942</v>
      </c>
      <c r="D48" s="17"/>
      <c r="E48" s="17">
        <v>368540</v>
      </c>
      <c r="F48" s="17"/>
      <c r="G48" s="17">
        <v>435482</v>
      </c>
      <c r="H48" s="17"/>
      <c r="I48" s="17">
        <f t="shared" si="0"/>
        <v>12794</v>
      </c>
      <c r="J48" s="17"/>
      <c r="K48" s="17">
        <f t="shared" si="1"/>
        <v>3330957</v>
      </c>
      <c r="L48" s="17"/>
      <c r="M48" s="17">
        <v>3343751</v>
      </c>
      <c r="N48" s="17"/>
      <c r="O48" s="17">
        <v>368540</v>
      </c>
      <c r="P48" s="17"/>
      <c r="Q48" s="17">
        <v>0</v>
      </c>
      <c r="R48" s="17"/>
      <c r="S48" s="17">
        <v>-3276809</v>
      </c>
      <c r="T48" s="17"/>
      <c r="U48" s="17">
        <f t="shared" si="2"/>
        <v>-2908269</v>
      </c>
      <c r="V48" s="17"/>
      <c r="W48" s="68" t="s">
        <v>43</v>
      </c>
      <c r="X48" s="17"/>
      <c r="Y48" s="17">
        <v>80505</v>
      </c>
      <c r="Z48" s="1"/>
      <c r="AA48" s="17">
        <f>566513-0</f>
        <v>566513</v>
      </c>
      <c r="AB48" s="1"/>
      <c r="AC48" s="17">
        <v>0</v>
      </c>
      <c r="AD48" s="1"/>
      <c r="AE48" s="17">
        <f t="shared" si="3"/>
        <v>-486008</v>
      </c>
      <c r="AF48" s="21"/>
      <c r="AG48" s="17">
        <v>0</v>
      </c>
      <c r="AH48" s="21"/>
      <c r="AI48" s="17">
        <v>0</v>
      </c>
      <c r="AJ48" s="1"/>
      <c r="AK48" s="17">
        <v>0</v>
      </c>
      <c r="AL48" s="1"/>
      <c r="AM48" s="1">
        <v>0</v>
      </c>
      <c r="AN48" s="1"/>
      <c r="AO48" s="17">
        <f t="shared" si="4"/>
        <v>-486008</v>
      </c>
      <c r="AP48" s="21"/>
      <c r="AQ48" s="1">
        <v>0</v>
      </c>
      <c r="AR48" s="1"/>
      <c r="AS48" s="1">
        <v>0</v>
      </c>
      <c r="AT48" s="1"/>
      <c r="AU48" s="17">
        <f t="shared" si="5"/>
        <v>54148</v>
      </c>
      <c r="AV48" s="1"/>
      <c r="AW48" s="68" t="s">
        <v>43</v>
      </c>
      <c r="AX48" s="1"/>
      <c r="AY48" s="1">
        <v>0</v>
      </c>
      <c r="AZ48" s="1"/>
      <c r="BA48" s="1">
        <v>0</v>
      </c>
      <c r="BB48" s="1"/>
      <c r="BC48" s="1">
        <v>0</v>
      </c>
      <c r="BD48" s="1"/>
      <c r="BE48" s="1">
        <v>3330957</v>
      </c>
      <c r="BF48" s="1"/>
      <c r="BG48" s="17">
        <f t="shared" si="15"/>
        <v>3330957</v>
      </c>
      <c r="BH48" s="65"/>
    </row>
    <row r="49" spans="1:60" ht="12.75">
      <c r="A49" s="63" t="s">
        <v>44</v>
      </c>
      <c r="B49" s="79"/>
      <c r="C49" s="17">
        <f t="shared" si="14"/>
        <v>693054</v>
      </c>
      <c r="D49" s="17"/>
      <c r="E49" s="17">
        <v>2821367</v>
      </c>
      <c r="F49" s="17"/>
      <c r="G49" s="17">
        <v>3514421</v>
      </c>
      <c r="H49" s="17"/>
      <c r="I49" s="17">
        <f t="shared" si="0"/>
        <v>536184</v>
      </c>
      <c r="J49" s="17"/>
      <c r="K49" s="17">
        <f t="shared" si="1"/>
        <v>3631660</v>
      </c>
      <c r="L49" s="17"/>
      <c r="M49" s="17">
        <v>4167844</v>
      </c>
      <c r="N49" s="17"/>
      <c r="O49" s="17">
        <v>1922866</v>
      </c>
      <c r="P49" s="17"/>
      <c r="Q49" s="17">
        <v>0</v>
      </c>
      <c r="R49" s="17"/>
      <c r="S49" s="17">
        <v>-2576289</v>
      </c>
      <c r="T49" s="17"/>
      <c r="U49" s="17">
        <f t="shared" si="2"/>
        <v>-653423</v>
      </c>
      <c r="V49" s="17"/>
      <c r="W49" s="68" t="s">
        <v>44</v>
      </c>
      <c r="X49" s="17"/>
      <c r="Y49" s="17">
        <v>2398281</v>
      </c>
      <c r="Z49" s="1"/>
      <c r="AA49" s="17">
        <f>2512503-117872</f>
        <v>2394631</v>
      </c>
      <c r="AB49" s="1"/>
      <c r="AC49" s="17">
        <v>117872</v>
      </c>
      <c r="AD49" s="1"/>
      <c r="AE49" s="17">
        <f t="shared" si="3"/>
        <v>-114222</v>
      </c>
      <c r="AF49" s="21"/>
      <c r="AG49" s="17">
        <v>-63210</v>
      </c>
      <c r="AH49" s="21"/>
      <c r="AI49" s="17">
        <v>160000</v>
      </c>
      <c r="AJ49" s="1"/>
      <c r="AK49" s="17">
        <v>0</v>
      </c>
      <c r="AL49" s="1"/>
      <c r="AM49" s="1">
        <v>0</v>
      </c>
      <c r="AN49" s="1"/>
      <c r="AO49" s="17">
        <f t="shared" si="4"/>
        <v>-17432</v>
      </c>
      <c r="AP49" s="21"/>
      <c r="AQ49" s="1">
        <v>0</v>
      </c>
      <c r="AR49" s="1"/>
      <c r="AS49" s="1">
        <v>0</v>
      </c>
      <c r="AT49" s="1"/>
      <c r="AU49" s="17">
        <f t="shared" si="5"/>
        <v>156870</v>
      </c>
      <c r="AV49" s="1"/>
      <c r="AW49" s="68" t="s">
        <v>44</v>
      </c>
      <c r="AX49" s="1"/>
      <c r="AY49" s="1">
        <v>554904</v>
      </c>
      <c r="AZ49" s="1"/>
      <c r="BA49" s="1">
        <v>0</v>
      </c>
      <c r="BB49" s="1"/>
      <c r="BC49" s="1">
        <v>0</v>
      </c>
      <c r="BD49" s="1"/>
      <c r="BE49" s="1">
        <v>3076756</v>
      </c>
      <c r="BF49" s="1"/>
      <c r="BG49" s="17">
        <f t="shared" si="15"/>
        <v>3631660</v>
      </c>
      <c r="BH49" s="65"/>
    </row>
    <row r="50" spans="1:60" ht="12.75" hidden="1">
      <c r="A50" s="63" t="s">
        <v>255</v>
      </c>
      <c r="B50" s="79"/>
      <c r="C50" s="17">
        <f t="shared" si="14"/>
        <v>0</v>
      </c>
      <c r="D50" s="17"/>
      <c r="E50" s="17"/>
      <c r="F50" s="17"/>
      <c r="G50" s="17"/>
      <c r="H50" s="17"/>
      <c r="I50" s="17">
        <f t="shared" si="0"/>
        <v>0</v>
      </c>
      <c r="J50" s="17"/>
      <c r="K50" s="17">
        <f t="shared" si="1"/>
        <v>0</v>
      </c>
      <c r="L50" s="17"/>
      <c r="M50" s="17"/>
      <c r="N50" s="17"/>
      <c r="O50" s="17"/>
      <c r="P50" s="17"/>
      <c r="Q50" s="17"/>
      <c r="R50" s="17"/>
      <c r="S50" s="17"/>
      <c r="T50" s="17"/>
      <c r="U50" s="17">
        <f t="shared" si="2"/>
        <v>0</v>
      </c>
      <c r="V50" s="79"/>
      <c r="W50" s="68" t="s">
        <v>45</v>
      </c>
      <c r="X50" s="79"/>
      <c r="Y50" s="17"/>
      <c r="Z50" s="1"/>
      <c r="AA50" s="17"/>
      <c r="AB50" s="1"/>
      <c r="AC50" s="17"/>
      <c r="AD50" s="1"/>
      <c r="AE50" s="17">
        <f t="shared" si="3"/>
        <v>0</v>
      </c>
      <c r="AF50" s="21"/>
      <c r="AG50" s="17"/>
      <c r="AH50" s="21"/>
      <c r="AI50" s="17"/>
      <c r="AJ50" s="1"/>
      <c r="AK50" s="17"/>
      <c r="AL50" s="1"/>
      <c r="AM50" s="1"/>
      <c r="AN50" s="1"/>
      <c r="AO50" s="17">
        <f t="shared" si="4"/>
        <v>0</v>
      </c>
      <c r="AP50" s="21"/>
      <c r="AQ50" s="1">
        <v>0</v>
      </c>
      <c r="AR50" s="1"/>
      <c r="AS50" s="1">
        <v>0</v>
      </c>
      <c r="AT50" s="1"/>
      <c r="AU50" s="17">
        <f t="shared" si="5"/>
        <v>0</v>
      </c>
      <c r="AV50" s="79"/>
      <c r="AW50" s="68" t="s">
        <v>45</v>
      </c>
      <c r="AX50" s="79"/>
      <c r="AY50" s="1"/>
      <c r="AZ50" s="1"/>
      <c r="BA50" s="1"/>
      <c r="BB50" s="1"/>
      <c r="BC50" s="1"/>
      <c r="BD50" s="1"/>
      <c r="BE50" s="1"/>
      <c r="BF50" s="1"/>
      <c r="BG50" s="17">
        <f t="shared" si="15"/>
        <v>0</v>
      </c>
      <c r="BH50" s="65"/>
    </row>
    <row r="51" spans="1:60" ht="12.75" hidden="1">
      <c r="A51" s="63" t="s">
        <v>46</v>
      </c>
      <c r="B51" s="79"/>
      <c r="C51" s="17">
        <f t="shared" si="14"/>
        <v>0</v>
      </c>
      <c r="D51" s="17"/>
      <c r="E51" s="17">
        <v>0</v>
      </c>
      <c r="F51" s="17"/>
      <c r="G51" s="17">
        <v>0</v>
      </c>
      <c r="H51" s="17"/>
      <c r="I51" s="17">
        <f t="shared" si="0"/>
        <v>0</v>
      </c>
      <c r="J51" s="17"/>
      <c r="K51" s="17">
        <f t="shared" si="1"/>
        <v>0</v>
      </c>
      <c r="L51" s="17"/>
      <c r="M51" s="17">
        <v>0</v>
      </c>
      <c r="N51" s="17"/>
      <c r="O51" s="17">
        <v>0</v>
      </c>
      <c r="P51" s="17"/>
      <c r="Q51" s="17">
        <v>0</v>
      </c>
      <c r="R51" s="17"/>
      <c r="S51" s="17">
        <v>0</v>
      </c>
      <c r="T51" s="17"/>
      <c r="U51" s="17">
        <f t="shared" si="2"/>
        <v>0</v>
      </c>
      <c r="V51" s="79"/>
      <c r="W51" s="68" t="s">
        <v>46</v>
      </c>
      <c r="X51" s="79"/>
      <c r="Y51" s="17">
        <v>0</v>
      </c>
      <c r="Z51" s="1"/>
      <c r="AA51" s="17">
        <v>0</v>
      </c>
      <c r="AB51" s="1"/>
      <c r="AC51" s="17">
        <v>0</v>
      </c>
      <c r="AD51" s="1"/>
      <c r="AE51" s="17">
        <f t="shared" si="3"/>
        <v>0</v>
      </c>
      <c r="AF51" s="21"/>
      <c r="AG51" s="17">
        <v>0</v>
      </c>
      <c r="AH51" s="21"/>
      <c r="AI51" s="17">
        <v>0</v>
      </c>
      <c r="AJ51" s="1"/>
      <c r="AK51" s="17">
        <v>0</v>
      </c>
      <c r="AL51" s="1"/>
      <c r="AM51" s="1">
        <v>0</v>
      </c>
      <c r="AN51" s="1"/>
      <c r="AO51" s="17">
        <f t="shared" si="4"/>
        <v>0</v>
      </c>
      <c r="AP51" s="21"/>
      <c r="AQ51" s="1">
        <v>0</v>
      </c>
      <c r="AR51" s="1"/>
      <c r="AS51" s="1">
        <v>0</v>
      </c>
      <c r="AT51" s="1"/>
      <c r="AU51" s="17">
        <f t="shared" si="5"/>
        <v>0</v>
      </c>
      <c r="AV51" s="79"/>
      <c r="AW51" s="68" t="s">
        <v>46</v>
      </c>
      <c r="AX51" s="79"/>
      <c r="AY51" s="1">
        <v>0</v>
      </c>
      <c r="AZ51" s="1"/>
      <c r="BA51" s="1">
        <v>0</v>
      </c>
      <c r="BB51" s="1"/>
      <c r="BC51" s="1">
        <v>0</v>
      </c>
      <c r="BD51" s="1"/>
      <c r="BE51" s="1">
        <v>0</v>
      </c>
      <c r="BF51" s="1"/>
      <c r="BG51" s="17">
        <f t="shared" si="15"/>
        <v>0</v>
      </c>
      <c r="BH51" s="65"/>
    </row>
    <row r="52" spans="1:60" ht="12.75">
      <c r="A52" s="63" t="s">
        <v>47</v>
      </c>
      <c r="B52" s="79"/>
      <c r="C52" s="17">
        <f t="shared" si="14"/>
        <v>75940</v>
      </c>
      <c r="D52" s="17"/>
      <c r="E52" s="17">
        <v>143164</v>
      </c>
      <c r="F52" s="17"/>
      <c r="G52" s="17">
        <v>219104</v>
      </c>
      <c r="H52" s="17"/>
      <c r="I52" s="17">
        <f t="shared" si="0"/>
        <v>87293</v>
      </c>
      <c r="J52" s="17"/>
      <c r="K52" s="17">
        <f t="shared" si="1"/>
        <v>1546168</v>
      </c>
      <c r="L52" s="17"/>
      <c r="M52" s="17">
        <v>1633461</v>
      </c>
      <c r="N52" s="17"/>
      <c r="O52" s="17">
        <v>143164</v>
      </c>
      <c r="P52" s="17"/>
      <c r="Q52" s="17">
        <v>0</v>
      </c>
      <c r="R52" s="17"/>
      <c r="S52" s="17">
        <v>-1557521</v>
      </c>
      <c r="T52" s="17"/>
      <c r="U52" s="17">
        <f t="shared" si="2"/>
        <v>-1414357</v>
      </c>
      <c r="V52" s="17"/>
      <c r="W52" s="68" t="s">
        <v>47</v>
      </c>
      <c r="X52" s="17"/>
      <c r="Y52" s="17">
        <v>0</v>
      </c>
      <c r="Z52" s="1"/>
      <c r="AA52" s="17">
        <v>0</v>
      </c>
      <c r="AB52" s="1"/>
      <c r="AC52" s="17">
        <v>0</v>
      </c>
      <c r="AD52" s="1"/>
      <c r="AE52" s="17">
        <f t="shared" si="3"/>
        <v>0</v>
      </c>
      <c r="AF52" s="21"/>
      <c r="AG52" s="17">
        <v>0</v>
      </c>
      <c r="AH52" s="21"/>
      <c r="AI52" s="17">
        <v>103860</v>
      </c>
      <c r="AJ52" s="1"/>
      <c r="AK52" s="17">
        <v>0</v>
      </c>
      <c r="AL52" s="1"/>
      <c r="AM52" s="1">
        <v>0</v>
      </c>
      <c r="AN52" s="1"/>
      <c r="AO52" s="17">
        <f t="shared" si="4"/>
        <v>103860</v>
      </c>
      <c r="AP52" s="21"/>
      <c r="AQ52" s="1">
        <v>0</v>
      </c>
      <c r="AR52" s="1"/>
      <c r="AS52" s="1">
        <v>0</v>
      </c>
      <c r="AT52" s="1"/>
      <c r="AU52" s="17">
        <f t="shared" si="5"/>
        <v>-11353</v>
      </c>
      <c r="AV52" s="1"/>
      <c r="AW52" s="68" t="s">
        <v>47</v>
      </c>
      <c r="AX52" s="1"/>
      <c r="AY52" s="1">
        <v>0</v>
      </c>
      <c r="AZ52" s="1"/>
      <c r="BA52" s="1">
        <v>0</v>
      </c>
      <c r="BB52" s="1"/>
      <c r="BC52" s="1">
        <v>0</v>
      </c>
      <c r="BD52" s="1"/>
      <c r="BE52" s="1">
        <v>1546168</v>
      </c>
      <c r="BF52" s="1"/>
      <c r="BG52" s="17">
        <f t="shared" si="15"/>
        <v>1546168</v>
      </c>
      <c r="BH52" s="65"/>
    </row>
    <row r="53" spans="1:60" ht="12.75">
      <c r="A53" s="63" t="s">
        <v>48</v>
      </c>
      <c r="B53" s="79"/>
      <c r="C53" s="17">
        <f aca="true" t="shared" si="16" ref="C53:C76">G53-E53</f>
        <v>15038804</v>
      </c>
      <c r="D53" s="17"/>
      <c r="E53" s="17">
        <v>12198922</v>
      </c>
      <c r="F53" s="17"/>
      <c r="G53" s="17">
        <v>27237726</v>
      </c>
      <c r="H53" s="17"/>
      <c r="I53" s="17">
        <v>0</v>
      </c>
      <c r="J53" s="17"/>
      <c r="K53" s="17">
        <f t="shared" si="1"/>
        <v>10111679</v>
      </c>
      <c r="L53" s="17"/>
      <c r="M53" s="17">
        <v>10650207</v>
      </c>
      <c r="N53" s="17"/>
      <c r="O53" s="17">
        <v>11273922</v>
      </c>
      <c r="P53" s="17"/>
      <c r="Q53" s="17">
        <v>0</v>
      </c>
      <c r="R53" s="17"/>
      <c r="S53" s="17">
        <v>5313597</v>
      </c>
      <c r="T53" s="17"/>
      <c r="U53" s="17">
        <f t="shared" si="2"/>
        <v>16587519</v>
      </c>
      <c r="V53" s="79"/>
      <c r="W53" s="68" t="s">
        <v>48</v>
      </c>
      <c r="X53" s="79"/>
      <c r="Y53" s="17">
        <v>6652594</v>
      </c>
      <c r="Z53" s="1"/>
      <c r="AA53" s="17">
        <f>6204875-467880</f>
        <v>5736995</v>
      </c>
      <c r="AB53" s="1"/>
      <c r="AC53" s="17">
        <v>467880</v>
      </c>
      <c r="AD53" s="1"/>
      <c r="AE53" s="17">
        <f t="shared" si="3"/>
        <v>447719</v>
      </c>
      <c r="AF53" s="21"/>
      <c r="AG53" s="17">
        <v>0</v>
      </c>
      <c r="AH53" s="21"/>
      <c r="AI53" s="17">
        <v>0</v>
      </c>
      <c r="AJ53" s="1"/>
      <c r="AK53" s="17">
        <v>0</v>
      </c>
      <c r="AL53" s="1"/>
      <c r="AM53" s="1">
        <v>215756</v>
      </c>
      <c r="AN53" s="1"/>
      <c r="AO53" s="17">
        <f t="shared" si="4"/>
        <v>663475</v>
      </c>
      <c r="AP53" s="21"/>
      <c r="AQ53" s="1">
        <v>0</v>
      </c>
      <c r="AR53" s="1"/>
      <c r="AS53" s="1">
        <v>0</v>
      </c>
      <c r="AT53" s="1"/>
      <c r="AU53" s="17">
        <f t="shared" si="5"/>
        <v>15038804</v>
      </c>
      <c r="AV53" s="79"/>
      <c r="AW53" s="68" t="s">
        <v>48</v>
      </c>
      <c r="AX53" s="79"/>
      <c r="AY53" s="1">
        <v>0</v>
      </c>
      <c r="AZ53" s="1"/>
      <c r="BA53" s="1">
        <v>0</v>
      </c>
      <c r="BB53" s="1"/>
      <c r="BC53" s="1">
        <v>0</v>
      </c>
      <c r="BD53" s="1"/>
      <c r="BE53" s="1">
        <f>116563+9062265+7851+925000</f>
        <v>10111679</v>
      </c>
      <c r="BF53" s="1"/>
      <c r="BG53" s="17">
        <f t="shared" si="15"/>
        <v>10111679</v>
      </c>
      <c r="BH53" s="65"/>
    </row>
    <row r="54" spans="1:60" ht="12.75" hidden="1">
      <c r="A54" s="63" t="s">
        <v>170</v>
      </c>
      <c r="B54" s="79"/>
      <c r="C54" s="17">
        <f t="shared" si="16"/>
        <v>0</v>
      </c>
      <c r="D54" s="17"/>
      <c r="E54" s="17">
        <v>0</v>
      </c>
      <c r="F54" s="17"/>
      <c r="G54" s="17">
        <v>0</v>
      </c>
      <c r="H54" s="17"/>
      <c r="I54" s="17">
        <f t="shared" si="0"/>
        <v>0</v>
      </c>
      <c r="J54" s="17"/>
      <c r="K54" s="17">
        <f t="shared" si="1"/>
        <v>0</v>
      </c>
      <c r="L54" s="17"/>
      <c r="M54" s="17">
        <v>0</v>
      </c>
      <c r="N54" s="17"/>
      <c r="O54" s="17">
        <v>0</v>
      </c>
      <c r="P54" s="17"/>
      <c r="Q54" s="17">
        <v>0</v>
      </c>
      <c r="R54" s="17"/>
      <c r="S54" s="17">
        <v>0</v>
      </c>
      <c r="T54" s="17"/>
      <c r="U54" s="17">
        <f t="shared" si="2"/>
        <v>0</v>
      </c>
      <c r="V54" s="79"/>
      <c r="W54" s="68" t="s">
        <v>170</v>
      </c>
      <c r="X54" s="79"/>
      <c r="Y54" s="17">
        <v>0</v>
      </c>
      <c r="Z54" s="1"/>
      <c r="AA54" s="17">
        <v>0</v>
      </c>
      <c r="AB54" s="1"/>
      <c r="AC54" s="17">
        <v>0</v>
      </c>
      <c r="AD54" s="1"/>
      <c r="AE54" s="17">
        <f t="shared" si="3"/>
        <v>0</v>
      </c>
      <c r="AF54" s="21"/>
      <c r="AG54" s="17">
        <v>0</v>
      </c>
      <c r="AH54" s="21"/>
      <c r="AI54" s="17">
        <v>0</v>
      </c>
      <c r="AJ54" s="1"/>
      <c r="AK54" s="17">
        <v>0</v>
      </c>
      <c r="AL54" s="1"/>
      <c r="AM54" s="1">
        <v>0</v>
      </c>
      <c r="AN54" s="1"/>
      <c r="AO54" s="17">
        <f t="shared" si="4"/>
        <v>0</v>
      </c>
      <c r="AP54" s="21"/>
      <c r="AQ54" s="1">
        <v>0</v>
      </c>
      <c r="AR54" s="1"/>
      <c r="AS54" s="1">
        <v>0</v>
      </c>
      <c r="AT54" s="1"/>
      <c r="AU54" s="17">
        <f t="shared" si="5"/>
        <v>0</v>
      </c>
      <c r="AV54" s="79"/>
      <c r="AW54" s="68" t="s">
        <v>170</v>
      </c>
      <c r="AX54" s="79"/>
      <c r="AY54" s="1">
        <v>0</v>
      </c>
      <c r="AZ54" s="1"/>
      <c r="BA54" s="1">
        <v>0</v>
      </c>
      <c r="BB54" s="1"/>
      <c r="BC54" s="1">
        <v>0</v>
      </c>
      <c r="BD54" s="1"/>
      <c r="BE54" s="1">
        <v>0</v>
      </c>
      <c r="BF54" s="1"/>
      <c r="BG54" s="17">
        <f t="shared" si="15"/>
        <v>0</v>
      </c>
      <c r="BH54" s="65"/>
    </row>
    <row r="55" spans="1:60" ht="12.75" hidden="1">
      <c r="A55" s="63" t="s">
        <v>49</v>
      </c>
      <c r="B55" s="79"/>
      <c r="C55" s="17">
        <f t="shared" si="16"/>
        <v>0</v>
      </c>
      <c r="D55" s="17"/>
      <c r="E55" s="17">
        <v>0</v>
      </c>
      <c r="F55" s="17"/>
      <c r="G55" s="17">
        <v>0</v>
      </c>
      <c r="H55" s="17"/>
      <c r="I55" s="17">
        <f t="shared" si="0"/>
        <v>0</v>
      </c>
      <c r="J55" s="17"/>
      <c r="K55" s="17">
        <f t="shared" si="1"/>
        <v>0</v>
      </c>
      <c r="L55" s="17"/>
      <c r="M55" s="17">
        <v>0</v>
      </c>
      <c r="N55" s="17"/>
      <c r="O55" s="17">
        <v>0</v>
      </c>
      <c r="P55" s="17"/>
      <c r="Q55" s="17">
        <v>0</v>
      </c>
      <c r="R55" s="17"/>
      <c r="S55" s="17">
        <v>0</v>
      </c>
      <c r="T55" s="17"/>
      <c r="U55" s="17">
        <f t="shared" si="2"/>
        <v>0</v>
      </c>
      <c r="V55" s="79"/>
      <c r="W55" s="68" t="s">
        <v>49</v>
      </c>
      <c r="X55" s="79"/>
      <c r="Y55" s="17">
        <v>0</v>
      </c>
      <c r="Z55" s="1"/>
      <c r="AA55" s="17">
        <v>0</v>
      </c>
      <c r="AB55" s="1"/>
      <c r="AC55" s="17">
        <v>0</v>
      </c>
      <c r="AD55" s="1"/>
      <c r="AE55" s="17">
        <f t="shared" si="3"/>
        <v>0</v>
      </c>
      <c r="AF55" s="21"/>
      <c r="AG55" s="17">
        <v>0</v>
      </c>
      <c r="AH55" s="21"/>
      <c r="AI55" s="17">
        <v>0</v>
      </c>
      <c r="AJ55" s="1"/>
      <c r="AK55" s="17">
        <v>0</v>
      </c>
      <c r="AL55" s="1"/>
      <c r="AM55" s="1">
        <v>0</v>
      </c>
      <c r="AN55" s="1"/>
      <c r="AO55" s="17">
        <f t="shared" si="4"/>
        <v>0</v>
      </c>
      <c r="AP55" s="21"/>
      <c r="AQ55" s="1">
        <v>0</v>
      </c>
      <c r="AR55" s="1"/>
      <c r="AS55" s="1">
        <v>0</v>
      </c>
      <c r="AT55" s="1"/>
      <c r="AU55" s="17">
        <f t="shared" si="5"/>
        <v>0</v>
      </c>
      <c r="AV55" s="79"/>
      <c r="AW55" s="68" t="s">
        <v>49</v>
      </c>
      <c r="AX55" s="79"/>
      <c r="AY55" s="1">
        <v>0</v>
      </c>
      <c r="AZ55" s="1"/>
      <c r="BA55" s="1">
        <v>0</v>
      </c>
      <c r="BB55" s="1"/>
      <c r="BC55" s="1">
        <v>0</v>
      </c>
      <c r="BD55" s="1"/>
      <c r="BE55" s="1">
        <v>0</v>
      </c>
      <c r="BF55" s="1"/>
      <c r="BG55" s="17">
        <f t="shared" si="15"/>
        <v>0</v>
      </c>
      <c r="BH55" s="65"/>
    </row>
    <row r="56" spans="1:60" ht="12.75" hidden="1">
      <c r="A56" s="63" t="s">
        <v>50</v>
      </c>
      <c r="B56" s="79"/>
      <c r="C56" s="17">
        <f t="shared" si="16"/>
        <v>0</v>
      </c>
      <c r="D56" s="17"/>
      <c r="E56" s="17">
        <v>0</v>
      </c>
      <c r="F56" s="17"/>
      <c r="G56" s="17">
        <v>0</v>
      </c>
      <c r="H56" s="17"/>
      <c r="I56" s="17">
        <f t="shared" si="0"/>
        <v>0</v>
      </c>
      <c r="J56" s="17"/>
      <c r="K56" s="17">
        <f t="shared" si="1"/>
        <v>0</v>
      </c>
      <c r="L56" s="17"/>
      <c r="M56" s="17">
        <v>0</v>
      </c>
      <c r="N56" s="17"/>
      <c r="O56" s="17">
        <v>0</v>
      </c>
      <c r="P56" s="17"/>
      <c r="Q56" s="17">
        <v>0</v>
      </c>
      <c r="R56" s="17"/>
      <c r="S56" s="17">
        <v>0</v>
      </c>
      <c r="T56" s="17"/>
      <c r="U56" s="17">
        <f t="shared" si="2"/>
        <v>0</v>
      </c>
      <c r="V56" s="79"/>
      <c r="W56" s="68" t="s">
        <v>50</v>
      </c>
      <c r="X56" s="79"/>
      <c r="Y56" s="17">
        <v>0</v>
      </c>
      <c r="Z56" s="1"/>
      <c r="AA56" s="17">
        <v>0</v>
      </c>
      <c r="AB56" s="1"/>
      <c r="AC56" s="17">
        <v>0</v>
      </c>
      <c r="AD56" s="1"/>
      <c r="AE56" s="17">
        <f t="shared" si="3"/>
        <v>0</v>
      </c>
      <c r="AF56" s="21"/>
      <c r="AG56" s="17">
        <v>0</v>
      </c>
      <c r="AH56" s="21"/>
      <c r="AI56" s="17">
        <v>0</v>
      </c>
      <c r="AJ56" s="1"/>
      <c r="AK56" s="17">
        <v>0</v>
      </c>
      <c r="AL56" s="1"/>
      <c r="AM56" s="1">
        <v>0</v>
      </c>
      <c r="AN56" s="1"/>
      <c r="AO56" s="17">
        <f t="shared" si="4"/>
        <v>0</v>
      </c>
      <c r="AP56" s="21"/>
      <c r="AQ56" s="1">
        <v>0</v>
      </c>
      <c r="AR56" s="1"/>
      <c r="AS56" s="1">
        <v>0</v>
      </c>
      <c r="AT56" s="1"/>
      <c r="AU56" s="17">
        <f t="shared" si="5"/>
        <v>0</v>
      </c>
      <c r="AV56" s="79"/>
      <c r="AW56" s="68" t="s">
        <v>50</v>
      </c>
      <c r="AX56" s="79"/>
      <c r="AY56" s="1">
        <v>0</v>
      </c>
      <c r="AZ56" s="1"/>
      <c r="BA56" s="1">
        <v>0</v>
      </c>
      <c r="BB56" s="1"/>
      <c r="BC56" s="1">
        <v>0</v>
      </c>
      <c r="BD56" s="1"/>
      <c r="BE56" s="1">
        <v>0</v>
      </c>
      <c r="BF56" s="1"/>
      <c r="BG56" s="17">
        <f t="shared" si="15"/>
        <v>0</v>
      </c>
      <c r="BH56" s="65"/>
    </row>
    <row r="57" spans="1:60" ht="12.75" hidden="1">
      <c r="A57" s="63" t="s">
        <v>260</v>
      </c>
      <c r="B57" s="79"/>
      <c r="C57" s="17">
        <f t="shared" si="16"/>
        <v>0</v>
      </c>
      <c r="D57" s="17"/>
      <c r="E57" s="17">
        <v>0</v>
      </c>
      <c r="F57" s="17"/>
      <c r="G57" s="17">
        <v>0</v>
      </c>
      <c r="H57" s="17"/>
      <c r="I57" s="17">
        <f t="shared" si="0"/>
        <v>0</v>
      </c>
      <c r="J57" s="17"/>
      <c r="K57" s="17">
        <f t="shared" si="1"/>
        <v>0</v>
      </c>
      <c r="L57" s="17"/>
      <c r="M57" s="17">
        <v>0</v>
      </c>
      <c r="N57" s="17"/>
      <c r="O57" s="17">
        <v>0</v>
      </c>
      <c r="P57" s="17"/>
      <c r="Q57" s="17">
        <v>0</v>
      </c>
      <c r="R57" s="17"/>
      <c r="S57" s="17">
        <v>0</v>
      </c>
      <c r="T57" s="17"/>
      <c r="U57" s="17">
        <f t="shared" si="2"/>
        <v>0</v>
      </c>
      <c r="V57" s="17"/>
      <c r="W57" s="68" t="s">
        <v>51</v>
      </c>
      <c r="X57" s="17"/>
      <c r="Y57" s="17">
        <v>0</v>
      </c>
      <c r="Z57" s="1"/>
      <c r="AA57" s="17">
        <v>0</v>
      </c>
      <c r="AB57" s="1"/>
      <c r="AC57" s="17">
        <v>0</v>
      </c>
      <c r="AD57" s="1"/>
      <c r="AE57" s="17">
        <f t="shared" si="3"/>
        <v>0</v>
      </c>
      <c r="AF57" s="21"/>
      <c r="AG57" s="17">
        <v>0</v>
      </c>
      <c r="AH57" s="21"/>
      <c r="AI57" s="17">
        <v>0</v>
      </c>
      <c r="AJ57" s="1"/>
      <c r="AK57" s="17">
        <v>0</v>
      </c>
      <c r="AL57" s="1"/>
      <c r="AM57" s="1">
        <v>0</v>
      </c>
      <c r="AN57" s="1"/>
      <c r="AO57" s="17">
        <f t="shared" si="4"/>
        <v>0</v>
      </c>
      <c r="AP57" s="21"/>
      <c r="AQ57" s="1">
        <v>0</v>
      </c>
      <c r="AR57" s="1"/>
      <c r="AS57" s="1">
        <v>0</v>
      </c>
      <c r="AT57" s="1"/>
      <c r="AU57" s="17">
        <f t="shared" si="5"/>
        <v>0</v>
      </c>
      <c r="AV57" s="1"/>
      <c r="AW57" s="68" t="s">
        <v>51</v>
      </c>
      <c r="AX57" s="1"/>
      <c r="AY57" s="1">
        <v>0</v>
      </c>
      <c r="AZ57" s="1"/>
      <c r="BA57" s="1">
        <v>0</v>
      </c>
      <c r="BB57" s="1"/>
      <c r="BC57" s="1">
        <v>0</v>
      </c>
      <c r="BD57" s="1"/>
      <c r="BE57" s="1">
        <v>0</v>
      </c>
      <c r="BF57" s="1"/>
      <c r="BG57" s="17">
        <f t="shared" si="15"/>
        <v>0</v>
      </c>
      <c r="BH57" s="65"/>
    </row>
    <row r="58" spans="1:60" ht="12.75">
      <c r="A58" s="63" t="s">
        <v>191</v>
      </c>
      <c r="B58" s="79"/>
      <c r="C58" s="17">
        <f t="shared" si="16"/>
        <v>1776000</v>
      </c>
      <c r="D58" s="17"/>
      <c r="E58" s="17">
        <v>583000</v>
      </c>
      <c r="F58" s="17"/>
      <c r="G58" s="17">
        <v>2359000</v>
      </c>
      <c r="H58" s="17"/>
      <c r="I58" s="17">
        <f t="shared" si="0"/>
        <v>206000</v>
      </c>
      <c r="J58" s="17"/>
      <c r="K58" s="17">
        <f t="shared" si="1"/>
        <v>0</v>
      </c>
      <c r="L58" s="17"/>
      <c r="M58" s="17">
        <v>206000</v>
      </c>
      <c r="N58" s="17"/>
      <c r="O58" s="17">
        <v>583000</v>
      </c>
      <c r="P58" s="17"/>
      <c r="Q58" s="17">
        <v>0</v>
      </c>
      <c r="R58" s="17"/>
      <c r="S58" s="17">
        <v>1570000</v>
      </c>
      <c r="T58" s="17"/>
      <c r="U58" s="17">
        <f t="shared" si="2"/>
        <v>2153000</v>
      </c>
      <c r="V58" s="17"/>
      <c r="W58" s="68" t="s">
        <v>134</v>
      </c>
      <c r="X58" s="17"/>
      <c r="Y58" s="17">
        <v>1828000</v>
      </c>
      <c r="Z58" s="1"/>
      <c r="AA58" s="17">
        <f>1930000-72000</f>
        <v>1858000</v>
      </c>
      <c r="AB58" s="1"/>
      <c r="AC58" s="17">
        <v>72000</v>
      </c>
      <c r="AD58" s="1"/>
      <c r="AE58" s="17">
        <f t="shared" si="3"/>
        <v>-102000</v>
      </c>
      <c r="AF58" s="21"/>
      <c r="AG58" s="17">
        <v>0</v>
      </c>
      <c r="AH58" s="21"/>
      <c r="AI58" s="17">
        <v>0</v>
      </c>
      <c r="AJ58" s="1"/>
      <c r="AK58" s="17">
        <v>0</v>
      </c>
      <c r="AL58" s="1"/>
      <c r="AM58" s="1">
        <v>0</v>
      </c>
      <c r="AN58" s="1"/>
      <c r="AO58" s="17">
        <f t="shared" si="4"/>
        <v>-102000</v>
      </c>
      <c r="AP58" s="21"/>
      <c r="AQ58" s="1">
        <v>0</v>
      </c>
      <c r="AR58" s="1"/>
      <c r="AS58" s="1">
        <v>0</v>
      </c>
      <c r="AT58" s="1"/>
      <c r="AU58" s="17">
        <f t="shared" si="5"/>
        <v>1570000</v>
      </c>
      <c r="AV58" s="1"/>
      <c r="AW58" s="68" t="s">
        <v>134</v>
      </c>
      <c r="AX58" s="1"/>
      <c r="AY58" s="1">
        <v>0</v>
      </c>
      <c r="AZ58" s="1"/>
      <c r="BA58" s="1">
        <v>0</v>
      </c>
      <c r="BB58" s="1"/>
      <c r="BC58" s="1">
        <v>0</v>
      </c>
      <c r="BD58" s="1"/>
      <c r="BE58" s="1">
        <v>0</v>
      </c>
      <c r="BF58" s="1"/>
      <c r="BG58" s="17">
        <f t="shared" si="15"/>
        <v>0</v>
      </c>
      <c r="BH58" s="65"/>
    </row>
    <row r="59" spans="1:60" ht="12.75" hidden="1">
      <c r="A59" s="63" t="s">
        <v>52</v>
      </c>
      <c r="B59" s="79"/>
      <c r="C59" s="17">
        <f t="shared" si="16"/>
        <v>0</v>
      </c>
      <c r="D59" s="17"/>
      <c r="E59" s="17"/>
      <c r="F59" s="17"/>
      <c r="G59" s="17"/>
      <c r="H59" s="17"/>
      <c r="I59" s="17">
        <f t="shared" si="0"/>
        <v>0</v>
      </c>
      <c r="J59" s="17"/>
      <c r="K59" s="17">
        <f t="shared" si="1"/>
        <v>0</v>
      </c>
      <c r="L59" s="17"/>
      <c r="M59" s="17"/>
      <c r="N59" s="17"/>
      <c r="O59" s="17"/>
      <c r="P59" s="17"/>
      <c r="Q59" s="17"/>
      <c r="R59" s="17"/>
      <c r="S59" s="17"/>
      <c r="T59" s="17"/>
      <c r="U59" s="17">
        <f t="shared" si="2"/>
        <v>0</v>
      </c>
      <c r="V59" s="79"/>
      <c r="W59" s="68" t="s">
        <v>52</v>
      </c>
      <c r="X59" s="79"/>
      <c r="Y59" s="17"/>
      <c r="Z59" s="1"/>
      <c r="AA59" s="17"/>
      <c r="AB59" s="1"/>
      <c r="AC59" s="17"/>
      <c r="AD59" s="1"/>
      <c r="AE59" s="17">
        <f t="shared" si="3"/>
        <v>0</v>
      </c>
      <c r="AF59" s="21"/>
      <c r="AG59" s="17"/>
      <c r="AH59" s="21"/>
      <c r="AI59" s="17"/>
      <c r="AJ59" s="1"/>
      <c r="AK59" s="17"/>
      <c r="AL59" s="1"/>
      <c r="AM59" s="1"/>
      <c r="AN59" s="1"/>
      <c r="AO59" s="17">
        <f t="shared" si="4"/>
        <v>0</v>
      </c>
      <c r="AP59" s="21"/>
      <c r="AQ59" s="1">
        <v>0</v>
      </c>
      <c r="AR59" s="1"/>
      <c r="AS59" s="1">
        <v>0</v>
      </c>
      <c r="AT59" s="1"/>
      <c r="AU59" s="17">
        <f t="shared" si="5"/>
        <v>0</v>
      </c>
      <c r="AV59" s="79"/>
      <c r="AW59" s="68" t="s">
        <v>52</v>
      </c>
      <c r="AX59" s="79"/>
      <c r="AY59" s="1"/>
      <c r="AZ59" s="1"/>
      <c r="BA59" s="1"/>
      <c r="BB59" s="1"/>
      <c r="BC59" s="1"/>
      <c r="BD59" s="1"/>
      <c r="BE59" s="1"/>
      <c r="BF59" s="1"/>
      <c r="BG59" s="17">
        <f t="shared" si="15"/>
        <v>0</v>
      </c>
      <c r="BH59" s="65"/>
    </row>
    <row r="60" spans="1:60" ht="12.75" hidden="1">
      <c r="A60" s="63" t="s">
        <v>53</v>
      </c>
      <c r="B60" s="79"/>
      <c r="C60" s="17">
        <f t="shared" si="16"/>
        <v>0</v>
      </c>
      <c r="D60" s="17"/>
      <c r="E60" s="17">
        <v>0</v>
      </c>
      <c r="F60" s="17"/>
      <c r="G60" s="17">
        <v>0</v>
      </c>
      <c r="H60" s="17"/>
      <c r="I60" s="17">
        <f t="shared" si="0"/>
        <v>0</v>
      </c>
      <c r="J60" s="17"/>
      <c r="K60" s="17">
        <f t="shared" si="1"/>
        <v>0</v>
      </c>
      <c r="L60" s="17"/>
      <c r="M60" s="17">
        <v>0</v>
      </c>
      <c r="N60" s="17"/>
      <c r="O60" s="17">
        <v>0</v>
      </c>
      <c r="P60" s="17"/>
      <c r="Q60" s="17">
        <v>0</v>
      </c>
      <c r="R60" s="17"/>
      <c r="S60" s="17">
        <v>0</v>
      </c>
      <c r="T60" s="17"/>
      <c r="U60" s="17">
        <f t="shared" si="2"/>
        <v>0</v>
      </c>
      <c r="V60" s="17"/>
      <c r="W60" s="68" t="s">
        <v>53</v>
      </c>
      <c r="X60" s="17"/>
      <c r="Y60" s="17">
        <v>0</v>
      </c>
      <c r="Z60" s="1"/>
      <c r="AA60" s="17">
        <v>0</v>
      </c>
      <c r="AB60" s="1"/>
      <c r="AC60" s="17">
        <v>0</v>
      </c>
      <c r="AD60" s="1"/>
      <c r="AE60" s="17">
        <f t="shared" si="3"/>
        <v>0</v>
      </c>
      <c r="AF60" s="21"/>
      <c r="AG60" s="17">
        <v>0</v>
      </c>
      <c r="AH60" s="21"/>
      <c r="AI60" s="17">
        <v>0</v>
      </c>
      <c r="AJ60" s="1"/>
      <c r="AK60" s="17">
        <v>0</v>
      </c>
      <c r="AL60" s="1"/>
      <c r="AM60" s="1">
        <v>0</v>
      </c>
      <c r="AN60" s="1"/>
      <c r="AO60" s="17">
        <f t="shared" si="4"/>
        <v>0</v>
      </c>
      <c r="AP60" s="21"/>
      <c r="AQ60" s="1">
        <v>0</v>
      </c>
      <c r="AR60" s="1"/>
      <c r="AS60" s="1">
        <v>0</v>
      </c>
      <c r="AT60" s="1"/>
      <c r="AU60" s="17">
        <f t="shared" si="5"/>
        <v>0</v>
      </c>
      <c r="AV60" s="1"/>
      <c r="AW60" s="68" t="s">
        <v>53</v>
      </c>
      <c r="AX60" s="1"/>
      <c r="AY60" s="1">
        <v>0</v>
      </c>
      <c r="AZ60" s="1"/>
      <c r="BA60" s="1">
        <v>0</v>
      </c>
      <c r="BB60" s="1"/>
      <c r="BC60" s="1">
        <v>0</v>
      </c>
      <c r="BD60" s="1"/>
      <c r="BE60" s="1">
        <v>0</v>
      </c>
      <c r="BF60" s="1"/>
      <c r="BG60" s="17">
        <f t="shared" si="15"/>
        <v>0</v>
      </c>
      <c r="BH60" s="65"/>
    </row>
    <row r="61" spans="1:60" ht="12.75" hidden="1">
      <c r="A61" s="63" t="s">
        <v>54</v>
      </c>
      <c r="B61" s="79"/>
      <c r="C61" s="17">
        <f t="shared" si="16"/>
        <v>0</v>
      </c>
      <c r="D61" s="17"/>
      <c r="E61" s="17">
        <v>0</v>
      </c>
      <c r="F61" s="17"/>
      <c r="G61" s="17">
        <v>0</v>
      </c>
      <c r="H61" s="17"/>
      <c r="I61" s="17">
        <f t="shared" si="0"/>
        <v>0</v>
      </c>
      <c r="J61" s="17"/>
      <c r="K61" s="17">
        <f t="shared" si="1"/>
        <v>0</v>
      </c>
      <c r="L61" s="17"/>
      <c r="M61" s="17">
        <v>0</v>
      </c>
      <c r="N61" s="17"/>
      <c r="O61" s="17">
        <v>0</v>
      </c>
      <c r="P61" s="17"/>
      <c r="Q61" s="17">
        <v>0</v>
      </c>
      <c r="R61" s="17"/>
      <c r="S61" s="17">
        <v>0</v>
      </c>
      <c r="T61" s="17"/>
      <c r="U61" s="17">
        <f t="shared" si="2"/>
        <v>0</v>
      </c>
      <c r="V61" s="17"/>
      <c r="W61" s="68" t="s">
        <v>54</v>
      </c>
      <c r="X61" s="17"/>
      <c r="Y61" s="17">
        <v>0</v>
      </c>
      <c r="Z61" s="1"/>
      <c r="AA61" s="17">
        <v>0</v>
      </c>
      <c r="AB61" s="1"/>
      <c r="AC61" s="17">
        <v>0</v>
      </c>
      <c r="AD61" s="1"/>
      <c r="AE61" s="17">
        <f t="shared" si="3"/>
        <v>0</v>
      </c>
      <c r="AF61" s="21"/>
      <c r="AG61" s="17">
        <v>0</v>
      </c>
      <c r="AH61" s="21"/>
      <c r="AI61" s="17">
        <v>0</v>
      </c>
      <c r="AJ61" s="1"/>
      <c r="AK61" s="17">
        <v>0</v>
      </c>
      <c r="AL61" s="1"/>
      <c r="AM61" s="1">
        <v>0</v>
      </c>
      <c r="AN61" s="1"/>
      <c r="AO61" s="17">
        <f t="shared" si="4"/>
        <v>0</v>
      </c>
      <c r="AP61" s="21"/>
      <c r="AQ61" s="1">
        <v>0</v>
      </c>
      <c r="AR61" s="1"/>
      <c r="AS61" s="1">
        <v>0</v>
      </c>
      <c r="AT61" s="1"/>
      <c r="AU61" s="17">
        <f t="shared" si="5"/>
        <v>0</v>
      </c>
      <c r="AV61" s="1"/>
      <c r="AW61" s="68" t="s">
        <v>54</v>
      </c>
      <c r="AX61" s="1"/>
      <c r="AY61" s="1">
        <v>0</v>
      </c>
      <c r="AZ61" s="1"/>
      <c r="BA61" s="1">
        <v>0</v>
      </c>
      <c r="BB61" s="1"/>
      <c r="BC61" s="1">
        <v>0</v>
      </c>
      <c r="BD61" s="1"/>
      <c r="BE61" s="1">
        <v>0</v>
      </c>
      <c r="BF61" s="1"/>
      <c r="BG61" s="17">
        <f t="shared" si="15"/>
        <v>0</v>
      </c>
      <c r="BH61" s="65"/>
    </row>
    <row r="62" spans="1:60" ht="12.75">
      <c r="A62" s="63" t="s">
        <v>55</v>
      </c>
      <c r="B62" s="79"/>
      <c r="C62" s="17">
        <f t="shared" si="16"/>
        <v>2491426</v>
      </c>
      <c r="D62" s="17"/>
      <c r="E62" s="17">
        <v>11426760</v>
      </c>
      <c r="F62" s="17"/>
      <c r="G62" s="17">
        <v>13918186</v>
      </c>
      <c r="H62" s="17"/>
      <c r="I62" s="17">
        <v>0</v>
      </c>
      <c r="J62" s="17"/>
      <c r="K62" s="17">
        <f t="shared" si="1"/>
        <v>4587087</v>
      </c>
      <c r="L62" s="17"/>
      <c r="M62" s="17">
        <v>5973840</v>
      </c>
      <c r="N62" s="17"/>
      <c r="O62" s="17">
        <v>5911374</v>
      </c>
      <c r="P62" s="17"/>
      <c r="Q62" s="17">
        <v>0</v>
      </c>
      <c r="R62" s="17"/>
      <c r="S62" s="17">
        <v>2032972</v>
      </c>
      <c r="T62" s="17"/>
      <c r="U62" s="17">
        <f t="shared" si="2"/>
        <v>7944346</v>
      </c>
      <c r="V62" s="17"/>
      <c r="W62" s="68" t="s">
        <v>55</v>
      </c>
      <c r="X62" s="17"/>
      <c r="Y62" s="17">
        <v>7313171</v>
      </c>
      <c r="Z62" s="1"/>
      <c r="AA62" s="17">
        <f>7038315-279462</f>
        <v>6758853</v>
      </c>
      <c r="AB62" s="1"/>
      <c r="AC62" s="17">
        <v>279462</v>
      </c>
      <c r="AD62" s="1"/>
      <c r="AE62" s="17">
        <f t="shared" si="3"/>
        <v>274856</v>
      </c>
      <c r="AF62" s="21"/>
      <c r="AG62" s="17">
        <v>-131970</v>
      </c>
      <c r="AH62" s="21"/>
      <c r="AI62" s="17">
        <v>0</v>
      </c>
      <c r="AJ62" s="1"/>
      <c r="AK62" s="17">
        <v>0</v>
      </c>
      <c r="AL62" s="1"/>
      <c r="AM62" s="1">
        <v>0</v>
      </c>
      <c r="AN62" s="1"/>
      <c r="AO62" s="17">
        <f t="shared" si="4"/>
        <v>142886</v>
      </c>
      <c r="AP62" s="21"/>
      <c r="AQ62" s="1">
        <v>0</v>
      </c>
      <c r="AR62" s="1"/>
      <c r="AS62" s="1">
        <v>0</v>
      </c>
      <c r="AT62" s="1"/>
      <c r="AU62" s="17">
        <f t="shared" si="5"/>
        <v>2491426</v>
      </c>
      <c r="AV62" s="1"/>
      <c r="AW62" s="68" t="s">
        <v>55</v>
      </c>
      <c r="AX62" s="1"/>
      <c r="AY62" s="1">
        <v>0</v>
      </c>
      <c r="AZ62" s="1"/>
      <c r="BA62" s="1">
        <v>0</v>
      </c>
      <c r="BB62" s="1"/>
      <c r="BC62" s="1">
        <v>4570696</v>
      </c>
      <c r="BD62" s="1"/>
      <c r="BE62" s="1">
        <v>16391</v>
      </c>
      <c r="BF62" s="1"/>
      <c r="BG62" s="17">
        <f t="shared" si="15"/>
        <v>4587087</v>
      </c>
      <c r="BH62" s="65"/>
    </row>
    <row r="63" spans="1:60" ht="12.75" hidden="1">
      <c r="A63" s="14" t="s">
        <v>171</v>
      </c>
      <c r="B63" s="79"/>
      <c r="C63" s="17">
        <f t="shared" si="16"/>
        <v>0</v>
      </c>
      <c r="D63" s="17"/>
      <c r="E63" s="17">
        <v>0</v>
      </c>
      <c r="F63" s="17"/>
      <c r="G63" s="17">
        <v>0</v>
      </c>
      <c r="H63" s="17"/>
      <c r="I63" s="17">
        <f t="shared" si="0"/>
        <v>0</v>
      </c>
      <c r="J63" s="17"/>
      <c r="K63" s="17">
        <f t="shared" si="1"/>
        <v>0</v>
      </c>
      <c r="L63" s="17"/>
      <c r="M63" s="17">
        <v>0</v>
      </c>
      <c r="N63" s="17"/>
      <c r="O63" s="17">
        <v>0</v>
      </c>
      <c r="P63" s="17"/>
      <c r="Q63" s="17">
        <v>0</v>
      </c>
      <c r="R63" s="17"/>
      <c r="S63" s="17">
        <v>0</v>
      </c>
      <c r="T63" s="17"/>
      <c r="U63" s="17">
        <f t="shared" si="2"/>
        <v>0</v>
      </c>
      <c r="V63" s="79"/>
      <c r="W63" s="5" t="s">
        <v>171</v>
      </c>
      <c r="X63" s="79"/>
      <c r="Y63" s="17">
        <v>0</v>
      </c>
      <c r="Z63" s="1"/>
      <c r="AA63" s="17">
        <v>0</v>
      </c>
      <c r="AB63" s="1"/>
      <c r="AC63" s="17">
        <v>0</v>
      </c>
      <c r="AD63" s="1"/>
      <c r="AE63" s="17">
        <f t="shared" si="3"/>
        <v>0</v>
      </c>
      <c r="AF63" s="21"/>
      <c r="AG63" s="17">
        <v>0</v>
      </c>
      <c r="AH63" s="21"/>
      <c r="AI63" s="17">
        <v>0</v>
      </c>
      <c r="AJ63" s="1"/>
      <c r="AK63" s="17">
        <v>0</v>
      </c>
      <c r="AL63" s="1"/>
      <c r="AM63" s="1">
        <v>0</v>
      </c>
      <c r="AN63" s="1"/>
      <c r="AO63" s="17">
        <f t="shared" si="4"/>
        <v>0</v>
      </c>
      <c r="AP63" s="21"/>
      <c r="AQ63" s="1">
        <v>0</v>
      </c>
      <c r="AR63" s="1"/>
      <c r="AS63" s="1">
        <v>0</v>
      </c>
      <c r="AT63" s="1"/>
      <c r="AU63" s="17">
        <f t="shared" si="5"/>
        <v>0</v>
      </c>
      <c r="AV63" s="79"/>
      <c r="AW63" s="5" t="s">
        <v>171</v>
      </c>
      <c r="AX63" s="79"/>
      <c r="AY63" s="1">
        <v>0</v>
      </c>
      <c r="AZ63" s="1"/>
      <c r="BA63" s="1">
        <v>0</v>
      </c>
      <c r="BB63" s="1"/>
      <c r="BC63" s="1">
        <v>0</v>
      </c>
      <c r="BD63" s="1"/>
      <c r="BE63" s="1">
        <v>0</v>
      </c>
      <c r="BF63" s="1"/>
      <c r="BG63" s="17">
        <f t="shared" si="15"/>
        <v>0</v>
      </c>
      <c r="BH63" s="65"/>
    </row>
    <row r="64" spans="1:60" ht="12.75" hidden="1">
      <c r="A64" s="63" t="s">
        <v>56</v>
      </c>
      <c r="B64" s="79"/>
      <c r="C64" s="17">
        <f t="shared" si="16"/>
        <v>0</v>
      </c>
      <c r="D64" s="17"/>
      <c r="E64" s="17"/>
      <c r="F64" s="17"/>
      <c r="G64" s="17"/>
      <c r="H64" s="17"/>
      <c r="I64" s="17">
        <f t="shared" si="0"/>
        <v>0</v>
      </c>
      <c r="J64" s="17"/>
      <c r="K64" s="17">
        <f t="shared" si="1"/>
        <v>0</v>
      </c>
      <c r="L64" s="17"/>
      <c r="M64" s="17"/>
      <c r="N64" s="17"/>
      <c r="O64" s="17"/>
      <c r="P64" s="17"/>
      <c r="Q64" s="17"/>
      <c r="R64" s="17"/>
      <c r="S64" s="17"/>
      <c r="T64" s="17"/>
      <c r="U64" s="17">
        <f t="shared" si="2"/>
        <v>0</v>
      </c>
      <c r="V64" s="79"/>
      <c r="W64" s="68" t="s">
        <v>56</v>
      </c>
      <c r="X64" s="79"/>
      <c r="Y64" s="17"/>
      <c r="Z64" s="1"/>
      <c r="AA64" s="17"/>
      <c r="AB64" s="1"/>
      <c r="AC64" s="17"/>
      <c r="AD64" s="1"/>
      <c r="AE64" s="17">
        <f t="shared" si="3"/>
        <v>0</v>
      </c>
      <c r="AF64" s="21"/>
      <c r="AG64" s="17"/>
      <c r="AH64" s="21"/>
      <c r="AI64" s="17"/>
      <c r="AJ64" s="1"/>
      <c r="AK64" s="17"/>
      <c r="AL64" s="1"/>
      <c r="AM64" s="1"/>
      <c r="AN64" s="1"/>
      <c r="AO64" s="17">
        <f t="shared" si="4"/>
        <v>0</v>
      </c>
      <c r="AP64" s="21"/>
      <c r="AQ64" s="1">
        <v>0</v>
      </c>
      <c r="AR64" s="1"/>
      <c r="AS64" s="1">
        <v>0</v>
      </c>
      <c r="AT64" s="1"/>
      <c r="AU64" s="17">
        <f t="shared" si="5"/>
        <v>0</v>
      </c>
      <c r="AV64" s="79"/>
      <c r="AW64" s="68" t="s">
        <v>56</v>
      </c>
      <c r="AX64" s="79"/>
      <c r="AY64" s="1"/>
      <c r="AZ64" s="1"/>
      <c r="BA64" s="1"/>
      <c r="BB64" s="1"/>
      <c r="BC64" s="1"/>
      <c r="BD64" s="1"/>
      <c r="BE64" s="1"/>
      <c r="BF64" s="1"/>
      <c r="BG64" s="17">
        <f t="shared" si="15"/>
        <v>0</v>
      </c>
      <c r="BH64" s="65"/>
    </row>
    <row r="65" spans="1:60" ht="12.75" hidden="1">
      <c r="A65" s="63" t="s">
        <v>57</v>
      </c>
      <c r="B65" s="79"/>
      <c r="C65" s="17">
        <f t="shared" si="16"/>
        <v>0</v>
      </c>
      <c r="D65" s="17"/>
      <c r="E65" s="17"/>
      <c r="F65" s="17"/>
      <c r="G65" s="17"/>
      <c r="H65" s="17"/>
      <c r="I65" s="17">
        <f t="shared" si="0"/>
        <v>0</v>
      </c>
      <c r="J65" s="17"/>
      <c r="K65" s="17">
        <f t="shared" si="1"/>
        <v>0</v>
      </c>
      <c r="L65" s="17"/>
      <c r="M65" s="17"/>
      <c r="N65" s="17"/>
      <c r="O65" s="17"/>
      <c r="P65" s="17"/>
      <c r="Q65" s="17"/>
      <c r="R65" s="17"/>
      <c r="S65" s="17"/>
      <c r="T65" s="17"/>
      <c r="U65" s="17">
        <f t="shared" si="2"/>
        <v>0</v>
      </c>
      <c r="V65" s="17"/>
      <c r="W65" s="68" t="s">
        <v>57</v>
      </c>
      <c r="X65" s="17"/>
      <c r="Y65" s="17"/>
      <c r="Z65" s="1"/>
      <c r="AA65" s="17"/>
      <c r="AB65" s="1"/>
      <c r="AC65" s="17"/>
      <c r="AD65" s="1"/>
      <c r="AE65" s="17">
        <f t="shared" si="3"/>
        <v>0</v>
      </c>
      <c r="AF65" s="21"/>
      <c r="AG65" s="17"/>
      <c r="AH65" s="21"/>
      <c r="AI65" s="17"/>
      <c r="AJ65" s="1"/>
      <c r="AK65" s="17"/>
      <c r="AL65" s="1"/>
      <c r="AM65" s="1"/>
      <c r="AN65" s="1"/>
      <c r="AO65" s="17">
        <f t="shared" si="4"/>
        <v>0</v>
      </c>
      <c r="AP65" s="21"/>
      <c r="AQ65" s="1">
        <v>0</v>
      </c>
      <c r="AR65" s="1"/>
      <c r="AS65" s="1">
        <v>0</v>
      </c>
      <c r="AT65" s="1"/>
      <c r="AU65" s="17">
        <f t="shared" si="5"/>
        <v>0</v>
      </c>
      <c r="AV65" s="1"/>
      <c r="AW65" s="68" t="s">
        <v>57</v>
      </c>
      <c r="AX65" s="1"/>
      <c r="AY65" s="1"/>
      <c r="AZ65" s="1"/>
      <c r="BA65" s="1"/>
      <c r="BB65" s="1"/>
      <c r="BC65" s="1"/>
      <c r="BD65" s="1"/>
      <c r="BE65" s="1"/>
      <c r="BF65" s="1"/>
      <c r="BG65" s="17">
        <f t="shared" si="15"/>
        <v>0</v>
      </c>
      <c r="BH65" s="65"/>
    </row>
    <row r="66" spans="1:60" ht="12.75" hidden="1">
      <c r="A66" s="63" t="s">
        <v>58</v>
      </c>
      <c r="B66" s="79"/>
      <c r="C66" s="17">
        <f t="shared" si="16"/>
        <v>0</v>
      </c>
      <c r="D66" s="17"/>
      <c r="E66" s="17"/>
      <c r="F66" s="17"/>
      <c r="G66" s="17"/>
      <c r="H66" s="17"/>
      <c r="I66" s="17">
        <f t="shared" si="0"/>
        <v>0</v>
      </c>
      <c r="J66" s="17"/>
      <c r="K66" s="17">
        <f t="shared" si="1"/>
        <v>0</v>
      </c>
      <c r="L66" s="17"/>
      <c r="M66" s="17"/>
      <c r="N66" s="17"/>
      <c r="O66" s="17"/>
      <c r="P66" s="17"/>
      <c r="Q66" s="17"/>
      <c r="R66" s="17"/>
      <c r="S66" s="17"/>
      <c r="T66" s="17"/>
      <c r="U66" s="17">
        <f t="shared" si="2"/>
        <v>0</v>
      </c>
      <c r="V66" s="17"/>
      <c r="W66" s="68" t="s">
        <v>58</v>
      </c>
      <c r="X66" s="17"/>
      <c r="Y66" s="17"/>
      <c r="Z66" s="1"/>
      <c r="AA66" s="17"/>
      <c r="AB66" s="1"/>
      <c r="AC66" s="17"/>
      <c r="AD66" s="1"/>
      <c r="AE66" s="17">
        <f t="shared" si="3"/>
        <v>0</v>
      </c>
      <c r="AF66" s="21"/>
      <c r="AG66" s="17"/>
      <c r="AH66" s="21"/>
      <c r="AI66" s="17"/>
      <c r="AJ66" s="1"/>
      <c r="AK66" s="17"/>
      <c r="AL66" s="1"/>
      <c r="AM66" s="1"/>
      <c r="AN66" s="1"/>
      <c r="AO66" s="17">
        <f t="shared" si="4"/>
        <v>0</v>
      </c>
      <c r="AP66" s="21"/>
      <c r="AQ66" s="1">
        <v>0</v>
      </c>
      <c r="AR66" s="1"/>
      <c r="AS66" s="1">
        <v>0</v>
      </c>
      <c r="AT66" s="1"/>
      <c r="AU66" s="17">
        <f t="shared" si="5"/>
        <v>0</v>
      </c>
      <c r="AV66" s="1"/>
      <c r="AW66" s="68" t="s">
        <v>58</v>
      </c>
      <c r="AX66" s="1"/>
      <c r="AY66" s="1"/>
      <c r="AZ66" s="1"/>
      <c r="BA66" s="1"/>
      <c r="BB66" s="1"/>
      <c r="BC66" s="1"/>
      <c r="BD66" s="1"/>
      <c r="BE66" s="1"/>
      <c r="BF66" s="1"/>
      <c r="BG66" s="17">
        <f t="shared" si="15"/>
        <v>0</v>
      </c>
      <c r="BH66" s="65"/>
    </row>
    <row r="67" spans="1:60" ht="12.75">
      <c r="A67" s="63" t="s">
        <v>59</v>
      </c>
      <c r="B67" s="79"/>
      <c r="C67" s="17">
        <f t="shared" si="16"/>
        <v>41893021</v>
      </c>
      <c r="D67" s="17"/>
      <c r="E67" s="17">
        <v>50521096</v>
      </c>
      <c r="F67" s="17"/>
      <c r="G67" s="17">
        <v>92414117</v>
      </c>
      <c r="H67" s="17"/>
      <c r="I67" s="17">
        <f t="shared" si="0"/>
        <v>8079845</v>
      </c>
      <c r="J67" s="17"/>
      <c r="K67" s="17">
        <f t="shared" si="1"/>
        <v>18033255</v>
      </c>
      <c r="L67" s="17"/>
      <c r="M67" s="17">
        <v>26113100</v>
      </c>
      <c r="N67" s="17"/>
      <c r="O67" s="17">
        <v>33146145</v>
      </c>
      <c r="P67" s="17"/>
      <c r="Q67" s="17">
        <f>11842341+1529888</f>
        <v>13372229</v>
      </c>
      <c r="R67" s="17"/>
      <c r="S67" s="17">
        <f>19782643</f>
        <v>19782643</v>
      </c>
      <c r="T67" s="17"/>
      <c r="U67" s="17">
        <f t="shared" si="2"/>
        <v>66301017</v>
      </c>
      <c r="V67" s="17"/>
      <c r="W67" s="68" t="s">
        <v>59</v>
      </c>
      <c r="X67" s="17"/>
      <c r="Y67" s="17">
        <v>23084768</v>
      </c>
      <c r="Z67" s="1"/>
      <c r="AA67" s="17">
        <f>16497453-2101092</f>
        <v>14396361</v>
      </c>
      <c r="AB67" s="1"/>
      <c r="AC67" s="17">
        <v>2101092</v>
      </c>
      <c r="AD67" s="1"/>
      <c r="AE67" s="17">
        <f t="shared" si="3"/>
        <v>6587315</v>
      </c>
      <c r="AF67" s="21"/>
      <c r="AG67" s="17">
        <v>-1086510</v>
      </c>
      <c r="AH67" s="21"/>
      <c r="AI67" s="17">
        <v>817750</v>
      </c>
      <c r="AJ67" s="1"/>
      <c r="AK67" s="17">
        <v>0</v>
      </c>
      <c r="AL67" s="1"/>
      <c r="AM67" s="1">
        <v>0</v>
      </c>
      <c r="AN67" s="1"/>
      <c r="AO67" s="17">
        <f t="shared" si="4"/>
        <v>6318555</v>
      </c>
      <c r="AP67" s="21"/>
      <c r="AQ67" s="1">
        <v>0</v>
      </c>
      <c r="AR67" s="1"/>
      <c r="AS67" s="1">
        <v>0</v>
      </c>
      <c r="AT67" s="1"/>
      <c r="AU67" s="17">
        <f t="shared" si="5"/>
        <v>33813176</v>
      </c>
      <c r="AV67" s="1"/>
      <c r="AW67" s="68" t="s">
        <v>59</v>
      </c>
      <c r="AX67" s="1"/>
      <c r="AY67" s="1">
        <v>0</v>
      </c>
      <c r="AZ67" s="1"/>
      <c r="BA67" s="1">
        <f>17940000-1137049</f>
        <v>16802951</v>
      </c>
      <c r="BB67" s="1"/>
      <c r="BC67" s="1">
        <v>429000</v>
      </c>
      <c r="BD67" s="1"/>
      <c r="BE67" s="103">
        <f>240513+560791</f>
        <v>801304</v>
      </c>
      <c r="BF67" s="1"/>
      <c r="BG67" s="17">
        <f t="shared" si="15"/>
        <v>18033255</v>
      </c>
      <c r="BH67" s="65"/>
    </row>
    <row r="68" spans="1:60" ht="12.75" hidden="1">
      <c r="A68" s="63" t="s">
        <v>60</v>
      </c>
      <c r="B68" s="79"/>
      <c r="C68" s="17">
        <f t="shared" si="16"/>
        <v>0</v>
      </c>
      <c r="D68" s="17"/>
      <c r="E68" s="17"/>
      <c r="F68" s="17"/>
      <c r="G68" s="17"/>
      <c r="H68" s="17"/>
      <c r="I68" s="17">
        <f t="shared" si="0"/>
        <v>0</v>
      </c>
      <c r="J68" s="17"/>
      <c r="K68" s="17">
        <f t="shared" si="1"/>
        <v>0</v>
      </c>
      <c r="L68" s="17"/>
      <c r="M68" s="17"/>
      <c r="N68" s="17"/>
      <c r="O68" s="17"/>
      <c r="P68" s="17"/>
      <c r="Q68" s="17"/>
      <c r="R68" s="17"/>
      <c r="S68" s="17"/>
      <c r="T68" s="17"/>
      <c r="U68" s="17">
        <f t="shared" si="2"/>
        <v>0</v>
      </c>
      <c r="V68" s="17"/>
      <c r="W68" s="68" t="s">
        <v>60</v>
      </c>
      <c r="X68" s="17"/>
      <c r="Y68" s="17"/>
      <c r="Z68" s="1"/>
      <c r="AA68" s="17"/>
      <c r="AB68" s="1"/>
      <c r="AC68" s="17"/>
      <c r="AD68" s="1"/>
      <c r="AE68" s="17">
        <f t="shared" si="3"/>
        <v>0</v>
      </c>
      <c r="AF68" s="21"/>
      <c r="AG68" s="17"/>
      <c r="AH68" s="21"/>
      <c r="AI68" s="17"/>
      <c r="AJ68" s="1"/>
      <c r="AK68" s="17"/>
      <c r="AL68" s="1"/>
      <c r="AM68" s="1"/>
      <c r="AN68" s="1"/>
      <c r="AO68" s="17">
        <f t="shared" si="4"/>
        <v>0</v>
      </c>
      <c r="AP68" s="21"/>
      <c r="AQ68" s="1">
        <v>0</v>
      </c>
      <c r="AR68" s="1"/>
      <c r="AS68" s="1">
        <v>0</v>
      </c>
      <c r="AT68" s="1"/>
      <c r="AU68" s="17">
        <f t="shared" si="5"/>
        <v>0</v>
      </c>
      <c r="AV68" s="1"/>
      <c r="AW68" s="68" t="s">
        <v>60</v>
      </c>
      <c r="AX68" s="1"/>
      <c r="AY68" s="1"/>
      <c r="AZ68" s="1"/>
      <c r="BA68" s="1"/>
      <c r="BB68" s="1"/>
      <c r="BC68" s="1"/>
      <c r="BD68" s="1"/>
      <c r="BE68" s="1"/>
      <c r="BF68" s="1"/>
      <c r="BG68" s="17">
        <f t="shared" si="15"/>
        <v>0</v>
      </c>
      <c r="BH68" s="65"/>
    </row>
    <row r="69" spans="1:60" ht="12.75" hidden="1">
      <c r="A69" s="63" t="s">
        <v>97</v>
      </c>
      <c r="B69" s="79"/>
      <c r="C69" s="17">
        <f t="shared" si="16"/>
        <v>0</v>
      </c>
      <c r="D69" s="17"/>
      <c r="E69" s="17">
        <v>0</v>
      </c>
      <c r="F69" s="17"/>
      <c r="G69" s="17">
        <v>0</v>
      </c>
      <c r="H69" s="17"/>
      <c r="I69" s="17">
        <f t="shared" si="0"/>
        <v>0</v>
      </c>
      <c r="J69" s="17"/>
      <c r="K69" s="17">
        <f t="shared" si="1"/>
        <v>0</v>
      </c>
      <c r="L69" s="17"/>
      <c r="M69" s="17">
        <v>0</v>
      </c>
      <c r="N69" s="17"/>
      <c r="O69" s="17">
        <v>0</v>
      </c>
      <c r="P69" s="17"/>
      <c r="Q69" s="17">
        <v>0</v>
      </c>
      <c r="R69" s="17"/>
      <c r="S69" s="17">
        <v>0</v>
      </c>
      <c r="T69" s="17"/>
      <c r="U69" s="17">
        <f t="shared" si="2"/>
        <v>0</v>
      </c>
      <c r="V69" s="17"/>
      <c r="W69" s="68" t="s">
        <v>97</v>
      </c>
      <c r="X69" s="17"/>
      <c r="Y69" s="17">
        <v>0</v>
      </c>
      <c r="Z69" s="1"/>
      <c r="AA69" s="17">
        <v>0</v>
      </c>
      <c r="AB69" s="1"/>
      <c r="AC69" s="17">
        <v>0</v>
      </c>
      <c r="AD69" s="1"/>
      <c r="AE69" s="17">
        <f t="shared" si="3"/>
        <v>0</v>
      </c>
      <c r="AF69" s="21"/>
      <c r="AG69" s="17">
        <v>0</v>
      </c>
      <c r="AH69" s="21"/>
      <c r="AI69" s="17">
        <v>0</v>
      </c>
      <c r="AJ69" s="1"/>
      <c r="AK69" s="17">
        <v>0</v>
      </c>
      <c r="AL69" s="1"/>
      <c r="AM69" s="1">
        <v>0</v>
      </c>
      <c r="AN69" s="1"/>
      <c r="AO69" s="17">
        <f t="shared" si="4"/>
        <v>0</v>
      </c>
      <c r="AP69" s="21"/>
      <c r="AQ69" s="1">
        <v>0</v>
      </c>
      <c r="AR69" s="1"/>
      <c r="AS69" s="1">
        <v>0</v>
      </c>
      <c r="AT69" s="1"/>
      <c r="AU69" s="17">
        <f t="shared" si="5"/>
        <v>0</v>
      </c>
      <c r="AV69" s="1"/>
      <c r="AW69" s="68" t="s">
        <v>97</v>
      </c>
      <c r="AX69" s="1"/>
      <c r="AY69" s="1">
        <v>0</v>
      </c>
      <c r="AZ69" s="1"/>
      <c r="BA69" s="1">
        <v>0</v>
      </c>
      <c r="BB69" s="1"/>
      <c r="BC69" s="1">
        <v>0</v>
      </c>
      <c r="BD69" s="1"/>
      <c r="BE69" s="1">
        <v>0</v>
      </c>
      <c r="BF69" s="1"/>
      <c r="BG69" s="17">
        <f t="shared" si="15"/>
        <v>0</v>
      </c>
      <c r="BH69" s="65"/>
    </row>
    <row r="70" spans="1:60" ht="12.75" hidden="1">
      <c r="A70" s="63" t="s">
        <v>61</v>
      </c>
      <c r="B70" s="79"/>
      <c r="C70" s="17">
        <f t="shared" si="16"/>
        <v>0</v>
      </c>
      <c r="D70" s="17"/>
      <c r="E70" s="17">
        <v>0</v>
      </c>
      <c r="F70" s="17"/>
      <c r="G70" s="17">
        <v>0</v>
      </c>
      <c r="H70" s="17"/>
      <c r="I70" s="17">
        <f t="shared" si="0"/>
        <v>0</v>
      </c>
      <c r="J70" s="17"/>
      <c r="K70" s="17">
        <f t="shared" si="1"/>
        <v>0</v>
      </c>
      <c r="L70" s="17"/>
      <c r="M70" s="17">
        <v>0</v>
      </c>
      <c r="N70" s="17"/>
      <c r="O70" s="17">
        <v>0</v>
      </c>
      <c r="P70" s="17"/>
      <c r="Q70" s="17">
        <v>0</v>
      </c>
      <c r="R70" s="17"/>
      <c r="S70" s="17">
        <v>0</v>
      </c>
      <c r="T70" s="17"/>
      <c r="U70" s="17">
        <f t="shared" si="2"/>
        <v>0</v>
      </c>
      <c r="V70" s="79"/>
      <c r="W70" s="68" t="s">
        <v>61</v>
      </c>
      <c r="X70" s="79"/>
      <c r="Y70" s="17">
        <v>0</v>
      </c>
      <c r="Z70" s="1"/>
      <c r="AA70" s="17">
        <v>0</v>
      </c>
      <c r="AB70" s="1"/>
      <c r="AC70" s="17">
        <v>0</v>
      </c>
      <c r="AD70" s="1"/>
      <c r="AE70" s="17">
        <f t="shared" si="3"/>
        <v>0</v>
      </c>
      <c r="AF70" s="21"/>
      <c r="AG70" s="17">
        <v>0</v>
      </c>
      <c r="AH70" s="21"/>
      <c r="AI70" s="17">
        <v>0</v>
      </c>
      <c r="AJ70" s="1"/>
      <c r="AK70" s="17">
        <v>0</v>
      </c>
      <c r="AL70" s="1"/>
      <c r="AM70" s="1">
        <v>0</v>
      </c>
      <c r="AN70" s="1"/>
      <c r="AO70" s="17">
        <f t="shared" si="4"/>
        <v>0</v>
      </c>
      <c r="AP70" s="21"/>
      <c r="AQ70" s="1">
        <v>0</v>
      </c>
      <c r="AR70" s="1"/>
      <c r="AS70" s="1">
        <v>0</v>
      </c>
      <c r="AT70" s="1"/>
      <c r="AU70" s="17">
        <f t="shared" si="5"/>
        <v>0</v>
      </c>
      <c r="AV70" s="79"/>
      <c r="AW70" s="68" t="s">
        <v>61</v>
      </c>
      <c r="AX70" s="79"/>
      <c r="AY70" s="1">
        <v>0</v>
      </c>
      <c r="AZ70" s="1"/>
      <c r="BA70" s="1">
        <v>0</v>
      </c>
      <c r="BB70" s="1"/>
      <c r="BC70" s="1">
        <v>0</v>
      </c>
      <c r="BD70" s="1"/>
      <c r="BE70" s="1">
        <v>0</v>
      </c>
      <c r="BF70" s="1"/>
      <c r="BG70" s="17">
        <f t="shared" si="15"/>
        <v>0</v>
      </c>
      <c r="BH70" s="65"/>
    </row>
    <row r="71" spans="1:60" ht="12.75" hidden="1">
      <c r="A71" s="63" t="s">
        <v>62</v>
      </c>
      <c r="B71" s="79"/>
      <c r="C71" s="17">
        <f t="shared" si="16"/>
        <v>0</v>
      </c>
      <c r="D71" s="17"/>
      <c r="E71" s="17"/>
      <c r="F71" s="17"/>
      <c r="G71" s="17"/>
      <c r="H71" s="17"/>
      <c r="I71" s="17">
        <f t="shared" si="0"/>
        <v>0</v>
      </c>
      <c r="J71" s="17"/>
      <c r="K71" s="17">
        <f t="shared" si="1"/>
        <v>0</v>
      </c>
      <c r="L71" s="17"/>
      <c r="M71" s="17"/>
      <c r="N71" s="17"/>
      <c r="O71" s="17"/>
      <c r="P71" s="17"/>
      <c r="Q71" s="17"/>
      <c r="R71" s="17"/>
      <c r="S71" s="17"/>
      <c r="T71" s="17"/>
      <c r="U71" s="17">
        <f t="shared" si="2"/>
        <v>0</v>
      </c>
      <c r="V71" s="79"/>
      <c r="W71" s="68" t="s">
        <v>62</v>
      </c>
      <c r="X71" s="79"/>
      <c r="Y71" s="17"/>
      <c r="Z71" s="1"/>
      <c r="AA71" s="17"/>
      <c r="AB71" s="1"/>
      <c r="AC71" s="17"/>
      <c r="AD71" s="1"/>
      <c r="AE71" s="17">
        <f t="shared" si="3"/>
        <v>0</v>
      </c>
      <c r="AF71" s="21"/>
      <c r="AG71" s="17"/>
      <c r="AH71" s="21"/>
      <c r="AI71" s="17"/>
      <c r="AJ71" s="1"/>
      <c r="AK71" s="17"/>
      <c r="AL71" s="1"/>
      <c r="AM71" s="1"/>
      <c r="AN71" s="1"/>
      <c r="AO71" s="17">
        <f t="shared" si="4"/>
        <v>0</v>
      </c>
      <c r="AP71" s="21"/>
      <c r="AQ71" s="1">
        <v>0</v>
      </c>
      <c r="AR71" s="1"/>
      <c r="AS71" s="1">
        <v>0</v>
      </c>
      <c r="AT71" s="1"/>
      <c r="AU71" s="17">
        <f t="shared" si="5"/>
        <v>0</v>
      </c>
      <c r="AV71" s="79"/>
      <c r="AW71" s="68" t="s">
        <v>62</v>
      </c>
      <c r="AX71" s="79"/>
      <c r="AY71" s="1"/>
      <c r="AZ71" s="1"/>
      <c r="BA71" s="1"/>
      <c r="BB71" s="1"/>
      <c r="BC71" s="1"/>
      <c r="BD71" s="1"/>
      <c r="BE71" s="1"/>
      <c r="BF71" s="1"/>
      <c r="BG71" s="17">
        <f t="shared" si="15"/>
        <v>0</v>
      </c>
      <c r="BH71" s="65"/>
    </row>
    <row r="72" spans="1:60" ht="12.75" hidden="1">
      <c r="A72" s="63" t="s">
        <v>63</v>
      </c>
      <c r="B72" s="79"/>
      <c r="C72" s="17">
        <f t="shared" si="16"/>
        <v>0</v>
      </c>
      <c r="D72" s="17"/>
      <c r="E72" s="17">
        <v>0</v>
      </c>
      <c r="F72" s="17"/>
      <c r="G72" s="17">
        <v>0</v>
      </c>
      <c r="H72" s="17"/>
      <c r="I72" s="17">
        <f t="shared" si="0"/>
        <v>0</v>
      </c>
      <c r="J72" s="17"/>
      <c r="K72" s="17">
        <f t="shared" si="1"/>
        <v>0</v>
      </c>
      <c r="L72" s="17"/>
      <c r="M72" s="17">
        <v>0</v>
      </c>
      <c r="N72" s="17"/>
      <c r="O72" s="17">
        <v>0</v>
      </c>
      <c r="P72" s="17"/>
      <c r="Q72" s="17">
        <v>0</v>
      </c>
      <c r="R72" s="17"/>
      <c r="S72" s="17">
        <v>0</v>
      </c>
      <c r="T72" s="17"/>
      <c r="U72" s="17">
        <f t="shared" si="2"/>
        <v>0</v>
      </c>
      <c r="V72" s="79"/>
      <c r="W72" s="68" t="s">
        <v>63</v>
      </c>
      <c r="X72" s="79"/>
      <c r="Y72" s="17">
        <v>0</v>
      </c>
      <c r="Z72" s="1"/>
      <c r="AA72" s="17">
        <v>0</v>
      </c>
      <c r="AB72" s="1"/>
      <c r="AC72" s="17">
        <v>0</v>
      </c>
      <c r="AD72" s="1"/>
      <c r="AE72" s="17">
        <f t="shared" si="3"/>
        <v>0</v>
      </c>
      <c r="AF72" s="21"/>
      <c r="AG72" s="17">
        <v>0</v>
      </c>
      <c r="AH72" s="21"/>
      <c r="AI72" s="17">
        <v>0</v>
      </c>
      <c r="AJ72" s="1"/>
      <c r="AK72" s="17">
        <v>0</v>
      </c>
      <c r="AL72" s="1"/>
      <c r="AM72" s="1">
        <v>0</v>
      </c>
      <c r="AN72" s="1"/>
      <c r="AO72" s="17">
        <f t="shared" si="4"/>
        <v>0</v>
      </c>
      <c r="AP72" s="21"/>
      <c r="AQ72" s="1">
        <v>0</v>
      </c>
      <c r="AR72" s="1"/>
      <c r="AS72" s="1">
        <v>0</v>
      </c>
      <c r="AT72" s="1"/>
      <c r="AU72" s="17">
        <f t="shared" si="5"/>
        <v>0</v>
      </c>
      <c r="AV72" s="79"/>
      <c r="AW72" s="68" t="s">
        <v>63</v>
      </c>
      <c r="AX72" s="79"/>
      <c r="AY72" s="1">
        <v>0</v>
      </c>
      <c r="AZ72" s="1"/>
      <c r="BA72" s="1">
        <v>0</v>
      </c>
      <c r="BB72" s="1"/>
      <c r="BC72" s="1">
        <v>0</v>
      </c>
      <c r="BD72" s="1"/>
      <c r="BE72" s="1">
        <v>0</v>
      </c>
      <c r="BF72" s="1"/>
      <c r="BG72" s="17">
        <f t="shared" si="15"/>
        <v>0</v>
      </c>
      <c r="BH72" s="65"/>
    </row>
    <row r="73" spans="1:60" ht="12.75" hidden="1">
      <c r="A73" s="63" t="s">
        <v>132</v>
      </c>
      <c r="B73" s="79"/>
      <c r="C73" s="17">
        <f t="shared" si="16"/>
        <v>0</v>
      </c>
      <c r="D73" s="17"/>
      <c r="E73" s="17"/>
      <c r="F73" s="17"/>
      <c r="G73" s="17"/>
      <c r="H73" s="17"/>
      <c r="I73" s="17">
        <f t="shared" si="0"/>
        <v>0</v>
      </c>
      <c r="J73" s="17"/>
      <c r="K73" s="17">
        <f t="shared" si="1"/>
        <v>0</v>
      </c>
      <c r="L73" s="17"/>
      <c r="M73" s="17"/>
      <c r="N73" s="17"/>
      <c r="O73" s="17"/>
      <c r="P73" s="17"/>
      <c r="Q73" s="17"/>
      <c r="R73" s="17"/>
      <c r="S73" s="17"/>
      <c r="T73" s="17"/>
      <c r="U73" s="17">
        <f t="shared" si="2"/>
        <v>0</v>
      </c>
      <c r="V73" s="79"/>
      <c r="W73" s="68" t="s">
        <v>132</v>
      </c>
      <c r="X73" s="79"/>
      <c r="Y73" s="17"/>
      <c r="Z73" s="1"/>
      <c r="AA73" s="17"/>
      <c r="AB73" s="1"/>
      <c r="AC73" s="17"/>
      <c r="AD73" s="1"/>
      <c r="AE73" s="17">
        <f t="shared" si="3"/>
        <v>0</v>
      </c>
      <c r="AF73" s="21"/>
      <c r="AG73" s="17"/>
      <c r="AH73" s="21"/>
      <c r="AI73" s="17"/>
      <c r="AJ73" s="1"/>
      <c r="AK73" s="17"/>
      <c r="AL73" s="1"/>
      <c r="AM73" s="1"/>
      <c r="AN73" s="1"/>
      <c r="AO73" s="17">
        <f t="shared" si="4"/>
        <v>0</v>
      </c>
      <c r="AP73" s="21"/>
      <c r="AQ73" s="1">
        <v>0</v>
      </c>
      <c r="AR73" s="1"/>
      <c r="AS73" s="1">
        <v>0</v>
      </c>
      <c r="AT73" s="1"/>
      <c r="AU73" s="17">
        <f t="shared" si="5"/>
        <v>0</v>
      </c>
      <c r="AV73" s="79"/>
      <c r="AW73" s="68" t="s">
        <v>132</v>
      </c>
      <c r="AX73" s="79"/>
      <c r="AY73" s="1"/>
      <c r="AZ73" s="1"/>
      <c r="BA73" s="1"/>
      <c r="BB73" s="1"/>
      <c r="BC73" s="1"/>
      <c r="BD73" s="1"/>
      <c r="BE73" s="1"/>
      <c r="BF73" s="1"/>
      <c r="BG73" s="17">
        <f t="shared" si="15"/>
        <v>0</v>
      </c>
      <c r="BH73" s="65"/>
    </row>
    <row r="74" spans="1:60" ht="12.75" hidden="1">
      <c r="A74" s="63" t="s">
        <v>64</v>
      </c>
      <c r="B74" s="79"/>
      <c r="C74" s="17">
        <f t="shared" si="16"/>
        <v>0</v>
      </c>
      <c r="D74" s="17"/>
      <c r="E74" s="17"/>
      <c r="F74" s="17"/>
      <c r="G74" s="17"/>
      <c r="H74" s="17"/>
      <c r="I74" s="17">
        <f t="shared" si="0"/>
        <v>0</v>
      </c>
      <c r="J74" s="17"/>
      <c r="K74" s="17">
        <f t="shared" si="1"/>
        <v>0</v>
      </c>
      <c r="L74" s="17"/>
      <c r="M74" s="17"/>
      <c r="N74" s="17"/>
      <c r="O74" s="17"/>
      <c r="P74" s="17"/>
      <c r="Q74" s="17"/>
      <c r="R74" s="17"/>
      <c r="S74" s="17"/>
      <c r="T74" s="17"/>
      <c r="U74" s="17">
        <f t="shared" si="2"/>
        <v>0</v>
      </c>
      <c r="V74" s="79"/>
      <c r="W74" s="68" t="s">
        <v>64</v>
      </c>
      <c r="X74" s="79"/>
      <c r="Y74" s="17"/>
      <c r="Z74" s="1"/>
      <c r="AA74" s="17"/>
      <c r="AB74" s="1"/>
      <c r="AC74" s="17"/>
      <c r="AD74" s="1"/>
      <c r="AE74" s="17">
        <f t="shared" si="3"/>
        <v>0</v>
      </c>
      <c r="AF74" s="21"/>
      <c r="AG74" s="17"/>
      <c r="AH74" s="21"/>
      <c r="AI74" s="17"/>
      <c r="AJ74" s="1"/>
      <c r="AK74" s="17"/>
      <c r="AL74" s="1"/>
      <c r="AM74" s="1"/>
      <c r="AN74" s="1"/>
      <c r="AO74" s="17">
        <f t="shared" si="4"/>
        <v>0</v>
      </c>
      <c r="AP74" s="21"/>
      <c r="AQ74" s="1">
        <v>0</v>
      </c>
      <c r="AR74" s="1"/>
      <c r="AS74" s="1">
        <v>0</v>
      </c>
      <c r="AT74" s="1"/>
      <c r="AU74" s="17">
        <f t="shared" si="5"/>
        <v>0</v>
      </c>
      <c r="AV74" s="79"/>
      <c r="AW74" s="68" t="s">
        <v>64</v>
      </c>
      <c r="AX74" s="79"/>
      <c r="AY74" s="1"/>
      <c r="AZ74" s="1"/>
      <c r="BA74" s="1"/>
      <c r="BB74" s="1"/>
      <c r="BC74" s="1"/>
      <c r="BD74" s="1"/>
      <c r="BE74" s="1"/>
      <c r="BF74" s="1"/>
      <c r="BG74" s="17">
        <f t="shared" si="15"/>
        <v>0</v>
      </c>
      <c r="BH74" s="65"/>
    </row>
    <row r="75" spans="1:60" ht="12.75" hidden="1">
      <c r="A75" s="63" t="s">
        <v>65</v>
      </c>
      <c r="B75" s="79"/>
      <c r="C75" s="17">
        <f t="shared" si="16"/>
        <v>0</v>
      </c>
      <c r="D75" s="17"/>
      <c r="E75" s="17">
        <v>0</v>
      </c>
      <c r="F75" s="17"/>
      <c r="G75" s="17">
        <v>0</v>
      </c>
      <c r="H75" s="17"/>
      <c r="I75" s="17">
        <f t="shared" si="0"/>
        <v>0</v>
      </c>
      <c r="J75" s="17"/>
      <c r="K75" s="17">
        <f t="shared" si="1"/>
        <v>0</v>
      </c>
      <c r="L75" s="17"/>
      <c r="M75" s="17">
        <v>0</v>
      </c>
      <c r="N75" s="17"/>
      <c r="O75" s="17">
        <v>0</v>
      </c>
      <c r="P75" s="17"/>
      <c r="Q75" s="17">
        <v>0</v>
      </c>
      <c r="R75" s="17"/>
      <c r="S75" s="17">
        <v>0</v>
      </c>
      <c r="T75" s="17"/>
      <c r="U75" s="17">
        <f t="shared" si="2"/>
        <v>0</v>
      </c>
      <c r="V75" s="79"/>
      <c r="W75" s="68" t="s">
        <v>65</v>
      </c>
      <c r="X75" s="79"/>
      <c r="Y75" s="17">
        <v>0</v>
      </c>
      <c r="Z75" s="1"/>
      <c r="AA75" s="17">
        <v>0</v>
      </c>
      <c r="AB75" s="1"/>
      <c r="AC75" s="17">
        <v>0</v>
      </c>
      <c r="AD75" s="1"/>
      <c r="AE75" s="17">
        <f t="shared" si="3"/>
        <v>0</v>
      </c>
      <c r="AF75" s="21"/>
      <c r="AG75" s="17">
        <v>0</v>
      </c>
      <c r="AH75" s="21"/>
      <c r="AI75" s="17">
        <v>0</v>
      </c>
      <c r="AJ75" s="1"/>
      <c r="AK75" s="17">
        <v>0</v>
      </c>
      <c r="AL75" s="1"/>
      <c r="AM75" s="1">
        <v>0</v>
      </c>
      <c r="AN75" s="1"/>
      <c r="AO75" s="17">
        <f t="shared" si="4"/>
        <v>0</v>
      </c>
      <c r="AP75" s="21"/>
      <c r="AQ75" s="1">
        <v>0</v>
      </c>
      <c r="AR75" s="1"/>
      <c r="AS75" s="1">
        <v>0</v>
      </c>
      <c r="AT75" s="1"/>
      <c r="AU75" s="17">
        <f t="shared" si="5"/>
        <v>0</v>
      </c>
      <c r="AV75" s="79"/>
      <c r="AW75" s="68" t="s">
        <v>65</v>
      </c>
      <c r="AX75" s="79"/>
      <c r="AY75" s="1">
        <v>0</v>
      </c>
      <c r="AZ75" s="1"/>
      <c r="BA75" s="1">
        <v>0</v>
      </c>
      <c r="BB75" s="1"/>
      <c r="BC75" s="1">
        <v>0</v>
      </c>
      <c r="BD75" s="1"/>
      <c r="BE75" s="1">
        <v>0</v>
      </c>
      <c r="BF75" s="1"/>
      <c r="BG75" s="17">
        <f t="shared" si="15"/>
        <v>0</v>
      </c>
      <c r="BH75" s="65"/>
    </row>
    <row r="76" spans="1:60" ht="12.75" hidden="1">
      <c r="A76" s="63" t="s">
        <v>66</v>
      </c>
      <c r="B76" s="79"/>
      <c r="C76" s="17">
        <f t="shared" si="16"/>
        <v>0</v>
      </c>
      <c r="D76" s="17"/>
      <c r="E76" s="17">
        <v>0</v>
      </c>
      <c r="F76" s="17"/>
      <c r="G76" s="17">
        <v>0</v>
      </c>
      <c r="H76" s="17"/>
      <c r="I76" s="17">
        <f aca="true" t="shared" si="17" ref="I76:I97">M76-K76</f>
        <v>0</v>
      </c>
      <c r="J76" s="17"/>
      <c r="K76" s="17">
        <f aca="true" t="shared" si="18" ref="K76:K97">SUM(BG76)</f>
        <v>0</v>
      </c>
      <c r="L76" s="17"/>
      <c r="M76" s="17">
        <v>0</v>
      </c>
      <c r="N76" s="17"/>
      <c r="O76" s="17">
        <v>0</v>
      </c>
      <c r="P76" s="17"/>
      <c r="Q76" s="17">
        <v>0</v>
      </c>
      <c r="R76" s="17"/>
      <c r="S76" s="17">
        <v>0</v>
      </c>
      <c r="T76" s="17"/>
      <c r="U76" s="17">
        <f aca="true" t="shared" si="19" ref="U76:U97">SUM(O76:S76)</f>
        <v>0</v>
      </c>
      <c r="V76" s="79"/>
      <c r="W76" s="68" t="s">
        <v>66</v>
      </c>
      <c r="X76" s="79"/>
      <c r="Y76" s="17">
        <v>0</v>
      </c>
      <c r="Z76" s="1"/>
      <c r="AA76" s="17">
        <v>0</v>
      </c>
      <c r="AB76" s="1"/>
      <c r="AC76" s="17">
        <v>0</v>
      </c>
      <c r="AD76" s="1"/>
      <c r="AE76" s="17">
        <f aca="true" t="shared" si="20" ref="AE76:AE97">+Y76-AA76-AC76</f>
        <v>0</v>
      </c>
      <c r="AF76" s="21"/>
      <c r="AG76" s="17">
        <v>0</v>
      </c>
      <c r="AH76" s="21"/>
      <c r="AI76" s="17">
        <v>0</v>
      </c>
      <c r="AJ76" s="1"/>
      <c r="AK76" s="17">
        <v>0</v>
      </c>
      <c r="AL76" s="1"/>
      <c r="AM76" s="1">
        <v>0</v>
      </c>
      <c r="AN76" s="1"/>
      <c r="AO76" s="17">
        <f aca="true" t="shared" si="21" ref="AO76:AO97">+AE76+AG76+AI76-AK76+AM76</f>
        <v>0</v>
      </c>
      <c r="AP76" s="21"/>
      <c r="AQ76" s="1">
        <v>0</v>
      </c>
      <c r="AR76" s="1"/>
      <c r="AS76" s="1">
        <v>0</v>
      </c>
      <c r="AT76" s="1"/>
      <c r="AU76" s="17">
        <f aca="true" t="shared" si="22" ref="AU76:AU97">+C76-I76</f>
        <v>0</v>
      </c>
      <c r="AV76" s="79"/>
      <c r="AW76" s="68" t="s">
        <v>66</v>
      </c>
      <c r="AX76" s="79"/>
      <c r="AY76" s="1">
        <v>0</v>
      </c>
      <c r="AZ76" s="1"/>
      <c r="BA76" s="1">
        <v>0</v>
      </c>
      <c r="BB76" s="1"/>
      <c r="BC76" s="1">
        <v>0</v>
      </c>
      <c r="BD76" s="1"/>
      <c r="BE76" s="1">
        <v>0</v>
      </c>
      <c r="BF76" s="1"/>
      <c r="BG76" s="17">
        <f t="shared" si="15"/>
        <v>0</v>
      </c>
      <c r="BH76" s="65"/>
    </row>
    <row r="77" spans="1:60" ht="12.75" hidden="1">
      <c r="A77" s="63" t="s">
        <v>177</v>
      </c>
      <c r="B77" s="79"/>
      <c r="C77" s="17">
        <f aca="true" t="shared" si="23" ref="C77:C98">G77-E77</f>
        <v>0</v>
      </c>
      <c r="D77" s="17"/>
      <c r="E77" s="17">
        <v>0</v>
      </c>
      <c r="F77" s="17"/>
      <c r="G77" s="17">
        <v>0</v>
      </c>
      <c r="H77" s="17"/>
      <c r="I77" s="17">
        <f t="shared" si="17"/>
        <v>0</v>
      </c>
      <c r="J77" s="17"/>
      <c r="K77" s="17">
        <f t="shared" si="18"/>
        <v>0</v>
      </c>
      <c r="L77" s="17"/>
      <c r="M77" s="17">
        <v>0</v>
      </c>
      <c r="N77" s="17"/>
      <c r="O77" s="17">
        <v>0</v>
      </c>
      <c r="P77" s="17"/>
      <c r="Q77" s="17">
        <v>0</v>
      </c>
      <c r="R77" s="17"/>
      <c r="S77" s="17">
        <v>0</v>
      </c>
      <c r="T77" s="17"/>
      <c r="U77" s="17">
        <f t="shared" si="19"/>
        <v>0</v>
      </c>
      <c r="V77" s="79"/>
      <c r="W77" s="68" t="s">
        <v>177</v>
      </c>
      <c r="X77" s="79"/>
      <c r="Y77" s="17">
        <v>0</v>
      </c>
      <c r="Z77" s="1"/>
      <c r="AA77" s="17">
        <v>0</v>
      </c>
      <c r="AB77" s="1"/>
      <c r="AC77" s="17">
        <v>0</v>
      </c>
      <c r="AD77" s="1"/>
      <c r="AE77" s="17">
        <f t="shared" si="20"/>
        <v>0</v>
      </c>
      <c r="AF77" s="21"/>
      <c r="AG77" s="17">
        <v>0</v>
      </c>
      <c r="AH77" s="21"/>
      <c r="AI77" s="17">
        <v>0</v>
      </c>
      <c r="AJ77" s="1"/>
      <c r="AK77" s="17">
        <v>0</v>
      </c>
      <c r="AL77" s="1"/>
      <c r="AM77" s="1">
        <v>0</v>
      </c>
      <c r="AN77" s="1"/>
      <c r="AO77" s="17">
        <f t="shared" si="21"/>
        <v>0</v>
      </c>
      <c r="AP77" s="21"/>
      <c r="AQ77" s="1">
        <v>0</v>
      </c>
      <c r="AR77" s="1"/>
      <c r="AS77" s="1">
        <v>0</v>
      </c>
      <c r="AT77" s="1"/>
      <c r="AU77" s="17">
        <f t="shared" si="22"/>
        <v>0</v>
      </c>
      <c r="AV77" s="79"/>
      <c r="AW77" s="68" t="s">
        <v>177</v>
      </c>
      <c r="AX77" s="79"/>
      <c r="AY77" s="1">
        <v>0</v>
      </c>
      <c r="AZ77" s="1"/>
      <c r="BA77" s="1">
        <v>0</v>
      </c>
      <c r="BB77" s="1"/>
      <c r="BC77" s="1">
        <v>0</v>
      </c>
      <c r="BD77" s="1"/>
      <c r="BE77" s="1">
        <v>0</v>
      </c>
      <c r="BF77" s="1"/>
      <c r="BG77" s="17">
        <f t="shared" si="15"/>
        <v>0</v>
      </c>
      <c r="BH77" s="65"/>
    </row>
    <row r="78" spans="1:60" ht="12.75">
      <c r="A78" s="63" t="s">
        <v>68</v>
      </c>
      <c r="B78" s="79"/>
      <c r="C78" s="17">
        <f t="shared" si="23"/>
        <v>1890251</v>
      </c>
      <c r="D78" s="17"/>
      <c r="E78" s="17">
        <v>3116336</v>
      </c>
      <c r="F78" s="17"/>
      <c r="G78" s="17">
        <v>5006587</v>
      </c>
      <c r="H78" s="17"/>
      <c r="I78" s="17">
        <f t="shared" si="17"/>
        <v>519706</v>
      </c>
      <c r="J78" s="17"/>
      <c r="K78" s="17">
        <f t="shared" si="18"/>
        <v>5463791</v>
      </c>
      <c r="L78" s="17"/>
      <c r="M78" s="17">
        <v>5983497</v>
      </c>
      <c r="N78" s="17"/>
      <c r="O78" s="17">
        <v>1684482</v>
      </c>
      <c r="P78" s="17"/>
      <c r="Q78" s="17">
        <v>0</v>
      </c>
      <c r="R78" s="17"/>
      <c r="S78" s="17">
        <v>-2661392</v>
      </c>
      <c r="T78" s="17"/>
      <c r="U78" s="17">
        <f t="shared" si="19"/>
        <v>-976910</v>
      </c>
      <c r="V78" s="17"/>
      <c r="W78" s="68" t="s">
        <v>68</v>
      </c>
      <c r="X78" s="17"/>
      <c r="Y78" s="17">
        <v>3222446</v>
      </c>
      <c r="Z78" s="1"/>
      <c r="AA78" s="17">
        <f>2351196-150015</f>
        <v>2201181</v>
      </c>
      <c r="AB78" s="1"/>
      <c r="AC78" s="17">
        <v>150015</v>
      </c>
      <c r="AD78" s="1"/>
      <c r="AE78" s="17">
        <f t="shared" si="20"/>
        <v>871250</v>
      </c>
      <c r="AF78" s="21"/>
      <c r="AG78" s="17">
        <v>-182607</v>
      </c>
      <c r="AH78" s="21"/>
      <c r="AI78" s="17">
        <v>0</v>
      </c>
      <c r="AJ78" s="1"/>
      <c r="AK78" s="17">
        <v>0</v>
      </c>
      <c r="AL78" s="1"/>
      <c r="AM78" s="1">
        <v>0</v>
      </c>
      <c r="AN78" s="1"/>
      <c r="AO78" s="17">
        <f t="shared" si="21"/>
        <v>688643</v>
      </c>
      <c r="AP78" s="21"/>
      <c r="AQ78" s="1">
        <v>0</v>
      </c>
      <c r="AR78" s="1"/>
      <c r="AS78" s="1">
        <v>0</v>
      </c>
      <c r="AT78" s="1"/>
      <c r="AU78" s="17">
        <f t="shared" si="22"/>
        <v>1370545</v>
      </c>
      <c r="AV78" s="1"/>
      <c r="AW78" s="68" t="s">
        <v>68</v>
      </c>
      <c r="AX78" s="1"/>
      <c r="AY78" s="1">
        <v>2820251</v>
      </c>
      <c r="AZ78" s="1"/>
      <c r="BA78" s="1">
        <v>0</v>
      </c>
      <c r="BB78" s="1"/>
      <c r="BC78" s="1">
        <v>0</v>
      </c>
      <c r="BD78" s="1"/>
      <c r="BE78" s="1">
        <f>5945+2637595</f>
        <v>2643540</v>
      </c>
      <c r="BF78" s="1"/>
      <c r="BG78" s="17">
        <f aca="true" t="shared" si="24" ref="BG78:BG97">SUM(AY78:BE78)</f>
        <v>5463791</v>
      </c>
      <c r="BH78" s="65"/>
    </row>
    <row r="79" spans="1:60" ht="12.75" hidden="1">
      <c r="A79" s="63" t="s">
        <v>176</v>
      </c>
      <c r="B79" s="79"/>
      <c r="C79" s="17">
        <f t="shared" si="23"/>
        <v>0</v>
      </c>
      <c r="D79" s="17"/>
      <c r="E79" s="17">
        <v>0</v>
      </c>
      <c r="F79" s="17"/>
      <c r="G79" s="17">
        <v>0</v>
      </c>
      <c r="H79" s="17"/>
      <c r="I79" s="17">
        <f t="shared" si="17"/>
        <v>0</v>
      </c>
      <c r="J79" s="17"/>
      <c r="K79" s="17">
        <f t="shared" si="18"/>
        <v>0</v>
      </c>
      <c r="L79" s="17"/>
      <c r="M79" s="17">
        <v>0</v>
      </c>
      <c r="N79" s="17"/>
      <c r="O79" s="17">
        <v>0</v>
      </c>
      <c r="P79" s="17"/>
      <c r="Q79" s="17">
        <v>0</v>
      </c>
      <c r="R79" s="17"/>
      <c r="S79" s="17">
        <v>0</v>
      </c>
      <c r="T79" s="17"/>
      <c r="U79" s="17">
        <f t="shared" si="19"/>
        <v>0</v>
      </c>
      <c r="V79" s="79"/>
      <c r="W79" s="68" t="s">
        <v>176</v>
      </c>
      <c r="X79" s="79"/>
      <c r="Y79" s="17">
        <v>0</v>
      </c>
      <c r="Z79" s="1"/>
      <c r="AA79" s="17">
        <v>0</v>
      </c>
      <c r="AB79" s="1"/>
      <c r="AC79" s="17">
        <v>0</v>
      </c>
      <c r="AD79" s="1"/>
      <c r="AE79" s="17">
        <f t="shared" si="20"/>
        <v>0</v>
      </c>
      <c r="AF79" s="21"/>
      <c r="AG79" s="17">
        <v>0</v>
      </c>
      <c r="AH79" s="21"/>
      <c r="AI79" s="17">
        <v>0</v>
      </c>
      <c r="AJ79" s="1"/>
      <c r="AK79" s="17">
        <v>0</v>
      </c>
      <c r="AL79" s="1"/>
      <c r="AM79" s="1">
        <v>0</v>
      </c>
      <c r="AN79" s="1"/>
      <c r="AO79" s="17">
        <f t="shared" si="21"/>
        <v>0</v>
      </c>
      <c r="AP79" s="21"/>
      <c r="AQ79" s="1">
        <v>0</v>
      </c>
      <c r="AR79" s="1"/>
      <c r="AS79" s="1">
        <v>0</v>
      </c>
      <c r="AT79" s="1"/>
      <c r="AU79" s="17">
        <f t="shared" si="22"/>
        <v>0</v>
      </c>
      <c r="AV79" s="79"/>
      <c r="AW79" s="68" t="s">
        <v>176</v>
      </c>
      <c r="AX79" s="79"/>
      <c r="AY79" s="1">
        <v>0</v>
      </c>
      <c r="AZ79" s="1"/>
      <c r="BA79" s="1">
        <v>0</v>
      </c>
      <c r="BB79" s="1"/>
      <c r="BC79" s="1">
        <v>0</v>
      </c>
      <c r="BD79" s="1"/>
      <c r="BE79" s="1">
        <v>0</v>
      </c>
      <c r="BF79" s="1"/>
      <c r="BG79" s="17">
        <f t="shared" si="24"/>
        <v>0</v>
      </c>
      <c r="BH79" s="65"/>
    </row>
    <row r="80" spans="1:60" ht="12.75" hidden="1">
      <c r="A80" s="63" t="s">
        <v>133</v>
      </c>
      <c r="B80" s="79"/>
      <c r="C80" s="17">
        <f t="shared" si="23"/>
        <v>0</v>
      </c>
      <c r="D80" s="17"/>
      <c r="E80" s="17">
        <v>0</v>
      </c>
      <c r="F80" s="17"/>
      <c r="G80" s="17">
        <v>0</v>
      </c>
      <c r="H80" s="17"/>
      <c r="I80" s="17">
        <f t="shared" si="17"/>
        <v>0</v>
      </c>
      <c r="J80" s="17"/>
      <c r="K80" s="17">
        <f t="shared" si="18"/>
        <v>0</v>
      </c>
      <c r="L80" s="17"/>
      <c r="M80" s="17">
        <v>0</v>
      </c>
      <c r="N80" s="17"/>
      <c r="O80" s="17">
        <v>0</v>
      </c>
      <c r="P80" s="17"/>
      <c r="Q80" s="17">
        <v>0</v>
      </c>
      <c r="R80" s="17"/>
      <c r="S80" s="17">
        <v>0</v>
      </c>
      <c r="T80" s="17"/>
      <c r="U80" s="17">
        <f t="shared" si="19"/>
        <v>0</v>
      </c>
      <c r="V80" s="79"/>
      <c r="W80" s="68" t="s">
        <v>133</v>
      </c>
      <c r="X80" s="79"/>
      <c r="Y80" s="17">
        <v>0</v>
      </c>
      <c r="Z80" s="1"/>
      <c r="AA80" s="17">
        <v>0</v>
      </c>
      <c r="AB80" s="1"/>
      <c r="AC80" s="17">
        <v>0</v>
      </c>
      <c r="AD80" s="1"/>
      <c r="AE80" s="17">
        <f t="shared" si="20"/>
        <v>0</v>
      </c>
      <c r="AF80" s="21"/>
      <c r="AG80" s="17">
        <v>0</v>
      </c>
      <c r="AH80" s="21"/>
      <c r="AI80" s="17">
        <v>0</v>
      </c>
      <c r="AJ80" s="1"/>
      <c r="AK80" s="17">
        <v>0</v>
      </c>
      <c r="AL80" s="1"/>
      <c r="AM80" s="1">
        <v>0</v>
      </c>
      <c r="AN80" s="1"/>
      <c r="AO80" s="17">
        <f t="shared" si="21"/>
        <v>0</v>
      </c>
      <c r="AP80" s="21"/>
      <c r="AQ80" s="1">
        <v>0</v>
      </c>
      <c r="AR80" s="1"/>
      <c r="AS80" s="1">
        <v>0</v>
      </c>
      <c r="AT80" s="1"/>
      <c r="AU80" s="17">
        <f t="shared" si="22"/>
        <v>0</v>
      </c>
      <c r="AV80" s="79"/>
      <c r="AW80" s="68" t="s">
        <v>133</v>
      </c>
      <c r="AX80" s="79"/>
      <c r="AY80" s="1">
        <v>0</v>
      </c>
      <c r="AZ80" s="1"/>
      <c r="BA80" s="1">
        <v>0</v>
      </c>
      <c r="BB80" s="1"/>
      <c r="BC80" s="1">
        <v>0</v>
      </c>
      <c r="BD80" s="1"/>
      <c r="BE80" s="1">
        <v>0</v>
      </c>
      <c r="BF80" s="1"/>
      <c r="BG80" s="17">
        <f t="shared" si="24"/>
        <v>0</v>
      </c>
      <c r="BH80" s="65"/>
    </row>
    <row r="81" spans="1:60" ht="12.75" hidden="1">
      <c r="A81" s="63" t="s">
        <v>69</v>
      </c>
      <c r="B81" s="79"/>
      <c r="C81" s="17">
        <f t="shared" si="23"/>
        <v>0</v>
      </c>
      <c r="D81" s="17"/>
      <c r="E81" s="17">
        <v>0</v>
      </c>
      <c r="F81" s="17"/>
      <c r="G81" s="17">
        <v>0</v>
      </c>
      <c r="H81" s="17"/>
      <c r="I81" s="17">
        <f t="shared" si="17"/>
        <v>0</v>
      </c>
      <c r="J81" s="17"/>
      <c r="K81" s="17">
        <f t="shared" si="18"/>
        <v>0</v>
      </c>
      <c r="L81" s="17"/>
      <c r="M81" s="17">
        <v>0</v>
      </c>
      <c r="N81" s="17"/>
      <c r="O81" s="17">
        <v>0</v>
      </c>
      <c r="P81" s="17"/>
      <c r="Q81" s="17">
        <v>0</v>
      </c>
      <c r="R81" s="17"/>
      <c r="S81" s="17">
        <v>0</v>
      </c>
      <c r="T81" s="17"/>
      <c r="U81" s="17">
        <f t="shared" si="19"/>
        <v>0</v>
      </c>
      <c r="V81" s="79"/>
      <c r="W81" s="68" t="s">
        <v>69</v>
      </c>
      <c r="X81" s="79"/>
      <c r="Y81" s="17">
        <v>0</v>
      </c>
      <c r="Z81" s="1"/>
      <c r="AA81" s="17">
        <v>0</v>
      </c>
      <c r="AB81" s="1"/>
      <c r="AC81" s="17">
        <v>0</v>
      </c>
      <c r="AD81" s="1"/>
      <c r="AE81" s="17">
        <f t="shared" si="20"/>
        <v>0</v>
      </c>
      <c r="AF81" s="21"/>
      <c r="AG81" s="17">
        <v>0</v>
      </c>
      <c r="AH81" s="21"/>
      <c r="AI81" s="17">
        <v>0</v>
      </c>
      <c r="AJ81" s="1"/>
      <c r="AK81" s="17">
        <v>0</v>
      </c>
      <c r="AL81" s="1"/>
      <c r="AM81" s="1">
        <v>0</v>
      </c>
      <c r="AN81" s="1"/>
      <c r="AO81" s="17">
        <f t="shared" si="21"/>
        <v>0</v>
      </c>
      <c r="AP81" s="21"/>
      <c r="AQ81" s="1">
        <v>0</v>
      </c>
      <c r="AR81" s="1"/>
      <c r="AS81" s="1">
        <v>0</v>
      </c>
      <c r="AT81" s="1"/>
      <c r="AU81" s="17">
        <f t="shared" si="22"/>
        <v>0</v>
      </c>
      <c r="AV81" s="79"/>
      <c r="AW81" s="68" t="s">
        <v>69</v>
      </c>
      <c r="AX81" s="79"/>
      <c r="AY81" s="1">
        <v>0</v>
      </c>
      <c r="AZ81" s="1"/>
      <c r="BA81" s="1">
        <v>0</v>
      </c>
      <c r="BB81" s="1"/>
      <c r="BC81" s="1">
        <v>0</v>
      </c>
      <c r="BD81" s="1"/>
      <c r="BE81" s="1">
        <v>0</v>
      </c>
      <c r="BF81" s="1"/>
      <c r="BG81" s="17">
        <f t="shared" si="24"/>
        <v>0</v>
      </c>
      <c r="BH81" s="65"/>
    </row>
    <row r="82" spans="1:60" ht="12.75" hidden="1">
      <c r="A82" s="63" t="s">
        <v>98</v>
      </c>
      <c r="B82" s="79"/>
      <c r="C82" s="17">
        <f t="shared" si="23"/>
        <v>0</v>
      </c>
      <c r="D82" s="17"/>
      <c r="E82" s="17">
        <v>0</v>
      </c>
      <c r="F82" s="17"/>
      <c r="G82" s="17">
        <v>0</v>
      </c>
      <c r="H82" s="17"/>
      <c r="I82" s="17">
        <f t="shared" si="17"/>
        <v>0</v>
      </c>
      <c r="J82" s="17"/>
      <c r="K82" s="17">
        <f t="shared" si="18"/>
        <v>0</v>
      </c>
      <c r="L82" s="17"/>
      <c r="M82" s="17">
        <v>0</v>
      </c>
      <c r="N82" s="17"/>
      <c r="O82" s="17">
        <v>0</v>
      </c>
      <c r="P82" s="17"/>
      <c r="Q82" s="17">
        <v>0</v>
      </c>
      <c r="R82" s="17"/>
      <c r="S82" s="17">
        <v>0</v>
      </c>
      <c r="T82" s="17"/>
      <c r="U82" s="17">
        <f t="shared" si="19"/>
        <v>0</v>
      </c>
      <c r="V82" s="79"/>
      <c r="W82" s="68" t="s">
        <v>98</v>
      </c>
      <c r="X82" s="79"/>
      <c r="Y82" s="17">
        <v>0</v>
      </c>
      <c r="Z82" s="1"/>
      <c r="AA82" s="17">
        <v>0</v>
      </c>
      <c r="AB82" s="1"/>
      <c r="AC82" s="17">
        <v>0</v>
      </c>
      <c r="AD82" s="1"/>
      <c r="AE82" s="17">
        <f t="shared" si="20"/>
        <v>0</v>
      </c>
      <c r="AF82" s="21"/>
      <c r="AG82" s="17">
        <v>0</v>
      </c>
      <c r="AH82" s="21"/>
      <c r="AI82" s="17">
        <v>0</v>
      </c>
      <c r="AJ82" s="1"/>
      <c r="AK82" s="17">
        <v>0</v>
      </c>
      <c r="AL82" s="1"/>
      <c r="AM82" s="1">
        <v>0</v>
      </c>
      <c r="AN82" s="1"/>
      <c r="AO82" s="17">
        <f t="shared" si="21"/>
        <v>0</v>
      </c>
      <c r="AP82" s="21"/>
      <c r="AQ82" s="1">
        <v>0</v>
      </c>
      <c r="AR82" s="1"/>
      <c r="AS82" s="1">
        <v>0</v>
      </c>
      <c r="AT82" s="1"/>
      <c r="AU82" s="17">
        <f t="shared" si="22"/>
        <v>0</v>
      </c>
      <c r="AV82" s="79"/>
      <c r="AW82" s="68" t="s">
        <v>98</v>
      </c>
      <c r="AX82" s="79"/>
      <c r="AY82" s="1">
        <v>0</v>
      </c>
      <c r="AZ82" s="1"/>
      <c r="BA82" s="1">
        <v>0</v>
      </c>
      <c r="BB82" s="1"/>
      <c r="BC82" s="1">
        <v>0</v>
      </c>
      <c r="BD82" s="1"/>
      <c r="BE82" s="1">
        <v>0</v>
      </c>
      <c r="BF82" s="1"/>
      <c r="BG82" s="17">
        <f t="shared" si="24"/>
        <v>0</v>
      </c>
      <c r="BH82" s="65"/>
    </row>
    <row r="83" spans="1:60" ht="12.75" hidden="1">
      <c r="A83" s="63" t="s">
        <v>70</v>
      </c>
      <c r="B83" s="79"/>
      <c r="C83" s="17">
        <f t="shared" si="23"/>
        <v>0</v>
      </c>
      <c r="D83" s="17"/>
      <c r="E83" s="17">
        <v>0</v>
      </c>
      <c r="F83" s="17"/>
      <c r="G83" s="17">
        <v>0</v>
      </c>
      <c r="H83" s="17"/>
      <c r="I83" s="17">
        <f t="shared" si="17"/>
        <v>0</v>
      </c>
      <c r="J83" s="17"/>
      <c r="K83" s="17">
        <f t="shared" si="18"/>
        <v>0</v>
      </c>
      <c r="L83" s="17"/>
      <c r="M83" s="17">
        <v>0</v>
      </c>
      <c r="N83" s="17"/>
      <c r="O83" s="17">
        <v>0</v>
      </c>
      <c r="P83" s="17"/>
      <c r="Q83" s="17">
        <v>0</v>
      </c>
      <c r="R83" s="17"/>
      <c r="S83" s="17">
        <v>0</v>
      </c>
      <c r="T83" s="17"/>
      <c r="U83" s="17">
        <f t="shared" si="19"/>
        <v>0</v>
      </c>
      <c r="V83" s="79"/>
      <c r="W83" s="68" t="s">
        <v>70</v>
      </c>
      <c r="X83" s="79"/>
      <c r="Y83" s="17">
        <v>0</v>
      </c>
      <c r="Z83" s="1"/>
      <c r="AA83" s="17">
        <v>0</v>
      </c>
      <c r="AB83" s="1"/>
      <c r="AC83" s="17">
        <v>0</v>
      </c>
      <c r="AD83" s="1"/>
      <c r="AE83" s="17">
        <f t="shared" si="20"/>
        <v>0</v>
      </c>
      <c r="AF83" s="21"/>
      <c r="AG83" s="17">
        <v>0</v>
      </c>
      <c r="AH83" s="21"/>
      <c r="AI83" s="17">
        <v>0</v>
      </c>
      <c r="AJ83" s="1"/>
      <c r="AK83" s="17">
        <v>0</v>
      </c>
      <c r="AL83" s="1"/>
      <c r="AM83" s="1">
        <v>0</v>
      </c>
      <c r="AN83" s="1"/>
      <c r="AO83" s="17">
        <f t="shared" si="21"/>
        <v>0</v>
      </c>
      <c r="AP83" s="21"/>
      <c r="AQ83" s="1">
        <v>0</v>
      </c>
      <c r="AR83" s="1"/>
      <c r="AS83" s="1">
        <v>0</v>
      </c>
      <c r="AT83" s="1"/>
      <c r="AU83" s="17">
        <f t="shared" si="22"/>
        <v>0</v>
      </c>
      <c r="AV83" s="79"/>
      <c r="AW83" s="68" t="s">
        <v>70</v>
      </c>
      <c r="AX83" s="79"/>
      <c r="AY83" s="1">
        <v>0</v>
      </c>
      <c r="AZ83" s="1"/>
      <c r="BA83" s="1">
        <v>0</v>
      </c>
      <c r="BB83" s="1"/>
      <c r="BC83" s="1">
        <v>0</v>
      </c>
      <c r="BD83" s="1"/>
      <c r="BE83" s="1">
        <v>0</v>
      </c>
      <c r="BF83" s="1"/>
      <c r="BG83" s="17">
        <f t="shared" si="24"/>
        <v>0</v>
      </c>
      <c r="BH83" s="65"/>
    </row>
    <row r="84" spans="1:60" ht="12.75" hidden="1">
      <c r="A84" s="63" t="s">
        <v>71</v>
      </c>
      <c r="B84" s="79"/>
      <c r="C84" s="17">
        <f t="shared" si="23"/>
        <v>0</v>
      </c>
      <c r="D84" s="17"/>
      <c r="E84" s="17"/>
      <c r="F84" s="17"/>
      <c r="G84" s="17"/>
      <c r="H84" s="17"/>
      <c r="I84" s="17">
        <f t="shared" si="17"/>
        <v>0</v>
      </c>
      <c r="J84" s="17"/>
      <c r="K84" s="17">
        <f t="shared" si="18"/>
        <v>0</v>
      </c>
      <c r="L84" s="17"/>
      <c r="M84" s="17"/>
      <c r="N84" s="17"/>
      <c r="O84" s="17"/>
      <c r="P84" s="17"/>
      <c r="Q84" s="17"/>
      <c r="R84" s="17"/>
      <c r="S84" s="17"/>
      <c r="T84" s="17"/>
      <c r="U84" s="17">
        <f t="shared" si="19"/>
        <v>0</v>
      </c>
      <c r="V84" s="79"/>
      <c r="W84" s="68" t="s">
        <v>71</v>
      </c>
      <c r="X84" s="79"/>
      <c r="Y84" s="17"/>
      <c r="Z84" s="1"/>
      <c r="AA84" s="17"/>
      <c r="AB84" s="1"/>
      <c r="AC84" s="17"/>
      <c r="AD84" s="1"/>
      <c r="AE84" s="17">
        <f t="shared" si="20"/>
        <v>0</v>
      </c>
      <c r="AF84" s="21"/>
      <c r="AG84" s="17"/>
      <c r="AH84" s="21"/>
      <c r="AI84" s="17"/>
      <c r="AJ84" s="1"/>
      <c r="AK84" s="17"/>
      <c r="AL84" s="1"/>
      <c r="AM84" s="1"/>
      <c r="AN84" s="1"/>
      <c r="AO84" s="17">
        <f t="shared" si="21"/>
        <v>0</v>
      </c>
      <c r="AP84" s="21"/>
      <c r="AQ84" s="1">
        <v>0</v>
      </c>
      <c r="AR84" s="1"/>
      <c r="AS84" s="1">
        <v>0</v>
      </c>
      <c r="AT84" s="1"/>
      <c r="AU84" s="17">
        <f t="shared" si="22"/>
        <v>0</v>
      </c>
      <c r="AV84" s="79"/>
      <c r="AW84" s="68" t="s">
        <v>71</v>
      </c>
      <c r="AX84" s="79"/>
      <c r="AY84" s="1"/>
      <c r="AZ84" s="1"/>
      <c r="BA84" s="1"/>
      <c r="BB84" s="1"/>
      <c r="BC84" s="1"/>
      <c r="BD84" s="1"/>
      <c r="BE84" s="1"/>
      <c r="BF84" s="1"/>
      <c r="BG84" s="17">
        <f t="shared" si="24"/>
        <v>0</v>
      </c>
      <c r="BH84" s="65"/>
    </row>
    <row r="85" spans="1:60" ht="12.75" hidden="1">
      <c r="A85" s="63" t="s">
        <v>72</v>
      </c>
      <c r="B85" s="79"/>
      <c r="C85" s="17">
        <f t="shared" si="23"/>
        <v>0</v>
      </c>
      <c r="D85" s="17"/>
      <c r="E85" s="17"/>
      <c r="F85" s="17"/>
      <c r="G85" s="17"/>
      <c r="H85" s="17"/>
      <c r="I85" s="17">
        <f t="shared" si="17"/>
        <v>0</v>
      </c>
      <c r="J85" s="17"/>
      <c r="K85" s="17">
        <f t="shared" si="18"/>
        <v>0</v>
      </c>
      <c r="L85" s="17"/>
      <c r="M85" s="17"/>
      <c r="N85" s="17"/>
      <c r="O85" s="17"/>
      <c r="P85" s="17"/>
      <c r="Q85" s="17"/>
      <c r="R85" s="17"/>
      <c r="S85" s="17"/>
      <c r="T85" s="17"/>
      <c r="U85" s="17">
        <f t="shared" si="19"/>
        <v>0</v>
      </c>
      <c r="V85" s="17"/>
      <c r="W85" s="68" t="s">
        <v>72</v>
      </c>
      <c r="X85" s="17"/>
      <c r="Y85" s="17"/>
      <c r="Z85" s="1"/>
      <c r="AA85" s="17"/>
      <c r="AB85" s="1"/>
      <c r="AC85" s="17"/>
      <c r="AD85" s="1"/>
      <c r="AE85" s="17">
        <f t="shared" si="20"/>
        <v>0</v>
      </c>
      <c r="AF85" s="21"/>
      <c r="AG85" s="17"/>
      <c r="AH85" s="21"/>
      <c r="AI85" s="17"/>
      <c r="AJ85" s="1"/>
      <c r="AK85" s="17"/>
      <c r="AL85" s="1"/>
      <c r="AM85" s="1"/>
      <c r="AN85" s="1"/>
      <c r="AO85" s="17">
        <f t="shared" si="21"/>
        <v>0</v>
      </c>
      <c r="AP85" s="21"/>
      <c r="AQ85" s="1">
        <v>0</v>
      </c>
      <c r="AR85" s="1"/>
      <c r="AS85" s="1">
        <v>0</v>
      </c>
      <c r="AT85" s="1"/>
      <c r="AU85" s="17">
        <f t="shared" si="22"/>
        <v>0</v>
      </c>
      <c r="AV85" s="1"/>
      <c r="AW85" s="68" t="s">
        <v>72</v>
      </c>
      <c r="AX85" s="1"/>
      <c r="AY85" s="1"/>
      <c r="AZ85" s="1"/>
      <c r="BA85" s="1"/>
      <c r="BB85" s="1"/>
      <c r="BC85" s="1"/>
      <c r="BD85" s="1"/>
      <c r="BE85" s="1"/>
      <c r="BF85" s="1"/>
      <c r="BG85" s="17">
        <f t="shared" si="24"/>
        <v>0</v>
      </c>
      <c r="BH85" s="65"/>
    </row>
    <row r="86" spans="1:60" ht="12.75" hidden="1">
      <c r="A86" s="63" t="s">
        <v>73</v>
      </c>
      <c r="B86" s="79"/>
      <c r="C86" s="17">
        <f t="shared" si="23"/>
        <v>0</v>
      </c>
      <c r="D86" s="17"/>
      <c r="E86" s="17"/>
      <c r="F86" s="17"/>
      <c r="G86" s="17"/>
      <c r="H86" s="17"/>
      <c r="I86" s="17">
        <f t="shared" si="17"/>
        <v>0</v>
      </c>
      <c r="J86" s="17"/>
      <c r="K86" s="17">
        <f t="shared" si="18"/>
        <v>0</v>
      </c>
      <c r="L86" s="17"/>
      <c r="M86" s="17"/>
      <c r="N86" s="17"/>
      <c r="O86" s="17"/>
      <c r="P86" s="17"/>
      <c r="Q86" s="17"/>
      <c r="R86" s="17"/>
      <c r="S86" s="17"/>
      <c r="T86" s="17"/>
      <c r="U86" s="17">
        <f t="shared" si="19"/>
        <v>0</v>
      </c>
      <c r="V86" s="79"/>
      <c r="W86" s="68" t="s">
        <v>73</v>
      </c>
      <c r="X86" s="79"/>
      <c r="Y86" s="17"/>
      <c r="Z86" s="1"/>
      <c r="AA86" s="17"/>
      <c r="AB86" s="1"/>
      <c r="AC86" s="17"/>
      <c r="AD86" s="1"/>
      <c r="AE86" s="17">
        <f t="shared" si="20"/>
        <v>0</v>
      </c>
      <c r="AF86" s="21"/>
      <c r="AG86" s="17"/>
      <c r="AH86" s="21"/>
      <c r="AI86" s="17"/>
      <c r="AJ86" s="1"/>
      <c r="AK86" s="17"/>
      <c r="AL86" s="1"/>
      <c r="AM86" s="1"/>
      <c r="AN86" s="1"/>
      <c r="AO86" s="17">
        <f t="shared" si="21"/>
        <v>0</v>
      </c>
      <c r="AP86" s="21"/>
      <c r="AQ86" s="1">
        <v>0</v>
      </c>
      <c r="AR86" s="1"/>
      <c r="AS86" s="1">
        <v>0</v>
      </c>
      <c r="AT86" s="1"/>
      <c r="AU86" s="17">
        <f t="shared" si="22"/>
        <v>0</v>
      </c>
      <c r="AV86" s="79"/>
      <c r="AW86" s="68" t="s">
        <v>73</v>
      </c>
      <c r="AX86" s="79"/>
      <c r="AY86" s="1"/>
      <c r="AZ86" s="1"/>
      <c r="BA86" s="1"/>
      <c r="BB86" s="1"/>
      <c r="BC86" s="1"/>
      <c r="BD86" s="1"/>
      <c r="BE86" s="1"/>
      <c r="BF86" s="1"/>
      <c r="BG86" s="17">
        <f t="shared" si="24"/>
        <v>0</v>
      </c>
      <c r="BH86" s="65"/>
    </row>
    <row r="87" spans="1:60" ht="12.75" hidden="1">
      <c r="A87" s="63" t="s">
        <v>74</v>
      </c>
      <c r="B87" s="79"/>
      <c r="C87" s="17">
        <f t="shared" si="23"/>
        <v>0</v>
      </c>
      <c r="D87" s="17"/>
      <c r="E87" s="17"/>
      <c r="F87" s="17"/>
      <c r="G87" s="17"/>
      <c r="H87" s="17"/>
      <c r="I87" s="17">
        <f t="shared" si="17"/>
        <v>0</v>
      </c>
      <c r="J87" s="17"/>
      <c r="K87" s="17">
        <f t="shared" si="18"/>
        <v>0</v>
      </c>
      <c r="L87" s="17"/>
      <c r="M87" s="17"/>
      <c r="N87" s="17"/>
      <c r="O87" s="17"/>
      <c r="P87" s="17"/>
      <c r="Q87" s="17"/>
      <c r="R87" s="17"/>
      <c r="S87" s="17"/>
      <c r="T87" s="17"/>
      <c r="U87" s="17">
        <f t="shared" si="19"/>
        <v>0</v>
      </c>
      <c r="V87" s="79"/>
      <c r="W87" s="68" t="s">
        <v>74</v>
      </c>
      <c r="X87" s="79"/>
      <c r="Y87" s="17"/>
      <c r="Z87" s="1"/>
      <c r="AA87" s="17"/>
      <c r="AB87" s="1"/>
      <c r="AC87" s="17"/>
      <c r="AD87" s="1"/>
      <c r="AE87" s="17">
        <f t="shared" si="20"/>
        <v>0</v>
      </c>
      <c r="AF87" s="21"/>
      <c r="AG87" s="17"/>
      <c r="AH87" s="21"/>
      <c r="AI87" s="17"/>
      <c r="AJ87" s="1"/>
      <c r="AK87" s="17"/>
      <c r="AL87" s="1"/>
      <c r="AM87" s="1"/>
      <c r="AN87" s="1"/>
      <c r="AO87" s="17">
        <f t="shared" si="21"/>
        <v>0</v>
      </c>
      <c r="AP87" s="21"/>
      <c r="AQ87" s="1">
        <v>0</v>
      </c>
      <c r="AR87" s="1"/>
      <c r="AS87" s="1">
        <v>0</v>
      </c>
      <c r="AT87" s="1"/>
      <c r="AU87" s="17">
        <f t="shared" si="22"/>
        <v>0</v>
      </c>
      <c r="AV87" s="79"/>
      <c r="AW87" s="68" t="s">
        <v>74</v>
      </c>
      <c r="AX87" s="79"/>
      <c r="AY87" s="1"/>
      <c r="AZ87" s="1"/>
      <c r="BA87" s="1"/>
      <c r="BB87" s="1"/>
      <c r="BC87" s="1"/>
      <c r="BD87" s="1"/>
      <c r="BE87" s="1"/>
      <c r="BF87" s="1"/>
      <c r="BG87" s="17">
        <f t="shared" si="24"/>
        <v>0</v>
      </c>
      <c r="BH87" s="65"/>
    </row>
    <row r="88" spans="1:60" ht="12.75" hidden="1">
      <c r="A88" s="63" t="s">
        <v>75</v>
      </c>
      <c r="B88" s="79"/>
      <c r="C88" s="17">
        <f t="shared" si="23"/>
        <v>0</v>
      </c>
      <c r="D88" s="17"/>
      <c r="E88" s="17"/>
      <c r="F88" s="17"/>
      <c r="G88" s="17"/>
      <c r="H88" s="17"/>
      <c r="I88" s="17">
        <f t="shared" si="17"/>
        <v>0</v>
      </c>
      <c r="J88" s="17"/>
      <c r="K88" s="17">
        <f t="shared" si="18"/>
        <v>0</v>
      </c>
      <c r="L88" s="17"/>
      <c r="M88" s="17"/>
      <c r="N88" s="17"/>
      <c r="O88" s="17"/>
      <c r="P88" s="17"/>
      <c r="Q88" s="17"/>
      <c r="R88" s="17"/>
      <c r="S88" s="17"/>
      <c r="T88" s="17"/>
      <c r="U88" s="17">
        <f t="shared" si="19"/>
        <v>0</v>
      </c>
      <c r="V88" s="79"/>
      <c r="W88" s="68" t="s">
        <v>75</v>
      </c>
      <c r="X88" s="79"/>
      <c r="Y88" s="17"/>
      <c r="Z88" s="1"/>
      <c r="AA88" s="17"/>
      <c r="AB88" s="1"/>
      <c r="AC88" s="17"/>
      <c r="AD88" s="1"/>
      <c r="AE88" s="17">
        <f t="shared" si="20"/>
        <v>0</v>
      </c>
      <c r="AF88" s="21"/>
      <c r="AG88" s="17"/>
      <c r="AH88" s="21"/>
      <c r="AI88" s="17"/>
      <c r="AJ88" s="1"/>
      <c r="AK88" s="17"/>
      <c r="AL88" s="1"/>
      <c r="AM88" s="1"/>
      <c r="AN88" s="1"/>
      <c r="AO88" s="17">
        <f t="shared" si="21"/>
        <v>0</v>
      </c>
      <c r="AP88" s="21"/>
      <c r="AQ88" s="1">
        <v>0</v>
      </c>
      <c r="AR88" s="1"/>
      <c r="AS88" s="1">
        <v>0</v>
      </c>
      <c r="AT88" s="1"/>
      <c r="AU88" s="17">
        <f t="shared" si="22"/>
        <v>0</v>
      </c>
      <c r="AV88" s="79"/>
      <c r="AW88" s="68" t="s">
        <v>75</v>
      </c>
      <c r="AX88" s="79"/>
      <c r="AY88" s="1"/>
      <c r="AZ88" s="1"/>
      <c r="BA88" s="1"/>
      <c r="BB88" s="1"/>
      <c r="BC88" s="1"/>
      <c r="BD88" s="1"/>
      <c r="BE88" s="1"/>
      <c r="BF88" s="1"/>
      <c r="BG88" s="17">
        <f t="shared" si="24"/>
        <v>0</v>
      </c>
      <c r="BH88" s="65"/>
    </row>
    <row r="89" spans="1:60" ht="12.75" hidden="1">
      <c r="A89" s="63" t="s">
        <v>76</v>
      </c>
      <c r="B89" s="79"/>
      <c r="C89" s="17">
        <f t="shared" si="23"/>
        <v>0</v>
      </c>
      <c r="D89" s="17"/>
      <c r="E89" s="17"/>
      <c r="F89" s="17"/>
      <c r="G89" s="17"/>
      <c r="H89" s="17"/>
      <c r="I89" s="17">
        <f t="shared" si="17"/>
        <v>0</v>
      </c>
      <c r="J89" s="17"/>
      <c r="K89" s="17">
        <f t="shared" si="18"/>
        <v>0</v>
      </c>
      <c r="L89" s="17"/>
      <c r="M89" s="17"/>
      <c r="N89" s="17"/>
      <c r="O89" s="17"/>
      <c r="P89" s="17"/>
      <c r="Q89" s="17"/>
      <c r="R89" s="17"/>
      <c r="S89" s="17"/>
      <c r="T89" s="17"/>
      <c r="U89" s="17">
        <f t="shared" si="19"/>
        <v>0</v>
      </c>
      <c r="V89" s="79"/>
      <c r="W89" s="68" t="s">
        <v>76</v>
      </c>
      <c r="X89" s="79"/>
      <c r="Y89" s="17"/>
      <c r="Z89" s="1"/>
      <c r="AA89" s="17"/>
      <c r="AB89" s="1"/>
      <c r="AC89" s="17"/>
      <c r="AD89" s="1"/>
      <c r="AE89" s="17">
        <f t="shared" si="20"/>
        <v>0</v>
      </c>
      <c r="AF89" s="21"/>
      <c r="AG89" s="17"/>
      <c r="AH89" s="21"/>
      <c r="AI89" s="17"/>
      <c r="AJ89" s="1"/>
      <c r="AK89" s="17"/>
      <c r="AL89" s="1"/>
      <c r="AM89" s="1"/>
      <c r="AN89" s="1"/>
      <c r="AO89" s="17">
        <f t="shared" si="21"/>
        <v>0</v>
      </c>
      <c r="AP89" s="21"/>
      <c r="AQ89" s="1">
        <v>0</v>
      </c>
      <c r="AR89" s="1"/>
      <c r="AS89" s="1">
        <v>0</v>
      </c>
      <c r="AT89" s="1"/>
      <c r="AU89" s="17">
        <f t="shared" si="22"/>
        <v>0</v>
      </c>
      <c r="AV89" s="79"/>
      <c r="AW89" s="68" t="s">
        <v>76</v>
      </c>
      <c r="AX89" s="79"/>
      <c r="AY89" s="1"/>
      <c r="AZ89" s="1"/>
      <c r="BA89" s="1"/>
      <c r="BB89" s="1"/>
      <c r="BC89" s="1"/>
      <c r="BD89" s="1"/>
      <c r="BE89" s="1"/>
      <c r="BF89" s="1"/>
      <c r="BG89" s="17">
        <f t="shared" si="24"/>
        <v>0</v>
      </c>
      <c r="BH89" s="65"/>
    </row>
    <row r="90" spans="1:60" ht="12.75" hidden="1">
      <c r="A90" s="63" t="s">
        <v>77</v>
      </c>
      <c r="B90" s="79"/>
      <c r="C90" s="17">
        <f t="shared" si="23"/>
        <v>0</v>
      </c>
      <c r="D90" s="17"/>
      <c r="E90" s="17"/>
      <c r="F90" s="17"/>
      <c r="G90" s="17"/>
      <c r="H90" s="17"/>
      <c r="I90" s="17">
        <f t="shared" si="17"/>
        <v>0</v>
      </c>
      <c r="J90" s="17"/>
      <c r="K90" s="17">
        <f t="shared" si="18"/>
        <v>0</v>
      </c>
      <c r="L90" s="17"/>
      <c r="M90" s="17"/>
      <c r="N90" s="17"/>
      <c r="O90" s="17"/>
      <c r="P90" s="17"/>
      <c r="Q90" s="17"/>
      <c r="R90" s="17"/>
      <c r="S90" s="17"/>
      <c r="T90" s="17"/>
      <c r="U90" s="17">
        <f t="shared" si="19"/>
        <v>0</v>
      </c>
      <c r="V90" s="79"/>
      <c r="W90" s="68" t="s">
        <v>77</v>
      </c>
      <c r="X90" s="79"/>
      <c r="Y90" s="17"/>
      <c r="Z90" s="1"/>
      <c r="AA90" s="17"/>
      <c r="AB90" s="1"/>
      <c r="AC90" s="17"/>
      <c r="AD90" s="1"/>
      <c r="AE90" s="17">
        <f t="shared" si="20"/>
        <v>0</v>
      </c>
      <c r="AF90" s="21"/>
      <c r="AG90" s="17"/>
      <c r="AH90" s="21"/>
      <c r="AI90" s="17"/>
      <c r="AJ90" s="1"/>
      <c r="AK90" s="17"/>
      <c r="AL90" s="1"/>
      <c r="AM90" s="1"/>
      <c r="AN90" s="1"/>
      <c r="AO90" s="17">
        <f t="shared" si="21"/>
        <v>0</v>
      </c>
      <c r="AP90" s="21"/>
      <c r="AQ90" s="1">
        <v>0</v>
      </c>
      <c r="AR90" s="1"/>
      <c r="AS90" s="1">
        <v>0</v>
      </c>
      <c r="AT90" s="1"/>
      <c r="AU90" s="17">
        <f t="shared" si="22"/>
        <v>0</v>
      </c>
      <c r="AV90" s="79"/>
      <c r="AW90" s="68" t="s">
        <v>77</v>
      </c>
      <c r="AX90" s="79"/>
      <c r="AY90" s="1"/>
      <c r="AZ90" s="1"/>
      <c r="BA90" s="1"/>
      <c r="BB90" s="1"/>
      <c r="BC90" s="1"/>
      <c r="BD90" s="1"/>
      <c r="BE90" s="1"/>
      <c r="BF90" s="1"/>
      <c r="BG90" s="17">
        <f t="shared" si="24"/>
        <v>0</v>
      </c>
      <c r="BH90" s="65"/>
    </row>
    <row r="91" spans="1:60" ht="12.75" hidden="1">
      <c r="A91" s="63" t="s">
        <v>78</v>
      </c>
      <c r="B91" s="79"/>
      <c r="C91" s="17">
        <f t="shared" si="23"/>
        <v>0</v>
      </c>
      <c r="D91" s="17"/>
      <c r="E91" s="17"/>
      <c r="F91" s="17"/>
      <c r="G91" s="17"/>
      <c r="H91" s="17"/>
      <c r="I91" s="17">
        <f t="shared" si="17"/>
        <v>0</v>
      </c>
      <c r="J91" s="17"/>
      <c r="K91" s="17">
        <f t="shared" si="18"/>
        <v>0</v>
      </c>
      <c r="L91" s="17"/>
      <c r="M91" s="17"/>
      <c r="N91" s="17"/>
      <c r="O91" s="17"/>
      <c r="P91" s="17"/>
      <c r="Q91" s="17"/>
      <c r="R91" s="17"/>
      <c r="S91" s="17"/>
      <c r="T91" s="17"/>
      <c r="U91" s="17">
        <f t="shared" si="19"/>
        <v>0</v>
      </c>
      <c r="V91" s="79"/>
      <c r="W91" s="68" t="s">
        <v>78</v>
      </c>
      <c r="X91" s="79"/>
      <c r="Y91" s="17"/>
      <c r="Z91" s="1"/>
      <c r="AA91" s="17"/>
      <c r="AB91" s="1"/>
      <c r="AC91" s="17"/>
      <c r="AD91" s="1"/>
      <c r="AE91" s="17">
        <f t="shared" si="20"/>
        <v>0</v>
      </c>
      <c r="AF91" s="21"/>
      <c r="AG91" s="17"/>
      <c r="AH91" s="21"/>
      <c r="AI91" s="17"/>
      <c r="AJ91" s="1"/>
      <c r="AK91" s="17"/>
      <c r="AL91" s="1"/>
      <c r="AM91" s="1"/>
      <c r="AN91" s="1"/>
      <c r="AO91" s="17">
        <f t="shared" si="21"/>
        <v>0</v>
      </c>
      <c r="AP91" s="21"/>
      <c r="AQ91" s="1">
        <v>0</v>
      </c>
      <c r="AR91" s="1"/>
      <c r="AS91" s="1">
        <v>0</v>
      </c>
      <c r="AT91" s="1"/>
      <c r="AU91" s="17">
        <f t="shared" si="22"/>
        <v>0</v>
      </c>
      <c r="AV91" s="79"/>
      <c r="AW91" s="68" t="s">
        <v>78</v>
      </c>
      <c r="AX91" s="79"/>
      <c r="AY91" s="1"/>
      <c r="AZ91" s="1"/>
      <c r="BA91" s="1"/>
      <c r="BB91" s="1"/>
      <c r="BC91" s="1"/>
      <c r="BD91" s="1"/>
      <c r="BE91" s="1"/>
      <c r="BF91" s="1"/>
      <c r="BG91" s="17">
        <f t="shared" si="24"/>
        <v>0</v>
      </c>
      <c r="BH91" s="65"/>
    </row>
    <row r="92" spans="1:60" ht="12.75" hidden="1">
      <c r="A92" s="63" t="s">
        <v>79</v>
      </c>
      <c r="B92" s="79"/>
      <c r="C92" s="17">
        <f t="shared" si="23"/>
        <v>0</v>
      </c>
      <c r="D92" s="17"/>
      <c r="E92" s="17"/>
      <c r="F92" s="17"/>
      <c r="G92" s="17"/>
      <c r="H92" s="17"/>
      <c r="I92" s="17">
        <f t="shared" si="17"/>
        <v>0</v>
      </c>
      <c r="J92" s="17"/>
      <c r="K92" s="17">
        <f t="shared" si="18"/>
        <v>0</v>
      </c>
      <c r="L92" s="17"/>
      <c r="M92" s="17"/>
      <c r="N92" s="17"/>
      <c r="O92" s="17"/>
      <c r="P92" s="17"/>
      <c r="Q92" s="17"/>
      <c r="R92" s="17"/>
      <c r="S92" s="17"/>
      <c r="T92" s="17"/>
      <c r="U92" s="17">
        <f t="shared" si="19"/>
        <v>0</v>
      </c>
      <c r="V92" s="79"/>
      <c r="W92" s="68" t="s">
        <v>79</v>
      </c>
      <c r="X92" s="79"/>
      <c r="Y92" s="17"/>
      <c r="Z92" s="1"/>
      <c r="AA92" s="17"/>
      <c r="AB92" s="1"/>
      <c r="AC92" s="17"/>
      <c r="AD92" s="1"/>
      <c r="AE92" s="17">
        <f t="shared" si="20"/>
        <v>0</v>
      </c>
      <c r="AF92" s="21"/>
      <c r="AG92" s="17"/>
      <c r="AH92" s="21"/>
      <c r="AI92" s="17"/>
      <c r="AJ92" s="1"/>
      <c r="AK92" s="17"/>
      <c r="AL92" s="1"/>
      <c r="AM92" s="1"/>
      <c r="AN92" s="1"/>
      <c r="AO92" s="17">
        <f t="shared" si="21"/>
        <v>0</v>
      </c>
      <c r="AP92" s="21"/>
      <c r="AQ92" s="1">
        <v>0</v>
      </c>
      <c r="AR92" s="1"/>
      <c r="AS92" s="1">
        <v>0</v>
      </c>
      <c r="AT92" s="1"/>
      <c r="AU92" s="17">
        <f t="shared" si="22"/>
        <v>0</v>
      </c>
      <c r="AV92" s="79"/>
      <c r="AW92" s="68" t="s">
        <v>79</v>
      </c>
      <c r="AX92" s="79"/>
      <c r="AY92" s="1"/>
      <c r="AZ92" s="1"/>
      <c r="BA92" s="1"/>
      <c r="BB92" s="1"/>
      <c r="BC92" s="1"/>
      <c r="BD92" s="1"/>
      <c r="BE92" s="1"/>
      <c r="BF92" s="1"/>
      <c r="BG92" s="17">
        <f t="shared" si="24"/>
        <v>0</v>
      </c>
      <c r="BH92" s="65"/>
    </row>
    <row r="93" spans="1:60" ht="12.75" hidden="1">
      <c r="A93" s="63" t="s">
        <v>80</v>
      </c>
      <c r="B93" s="79"/>
      <c r="C93" s="17">
        <f t="shared" si="23"/>
        <v>0</v>
      </c>
      <c r="D93" s="17"/>
      <c r="E93" s="17"/>
      <c r="F93" s="17"/>
      <c r="G93" s="17"/>
      <c r="H93" s="17"/>
      <c r="I93" s="17">
        <f t="shared" si="17"/>
        <v>0</v>
      </c>
      <c r="J93" s="17"/>
      <c r="K93" s="17">
        <f t="shared" si="18"/>
        <v>0</v>
      </c>
      <c r="L93" s="17"/>
      <c r="M93" s="17"/>
      <c r="N93" s="17"/>
      <c r="O93" s="17"/>
      <c r="P93" s="17"/>
      <c r="Q93" s="17"/>
      <c r="R93" s="17"/>
      <c r="S93" s="17"/>
      <c r="T93" s="17"/>
      <c r="U93" s="17">
        <f t="shared" si="19"/>
        <v>0</v>
      </c>
      <c r="V93" s="79"/>
      <c r="W93" s="68" t="s">
        <v>80</v>
      </c>
      <c r="X93" s="79"/>
      <c r="Y93" s="17"/>
      <c r="Z93" s="1"/>
      <c r="AA93" s="17"/>
      <c r="AB93" s="1"/>
      <c r="AC93" s="17"/>
      <c r="AD93" s="1"/>
      <c r="AE93" s="17">
        <f t="shared" si="20"/>
        <v>0</v>
      </c>
      <c r="AF93" s="21"/>
      <c r="AG93" s="17"/>
      <c r="AH93" s="21"/>
      <c r="AI93" s="17"/>
      <c r="AJ93" s="1"/>
      <c r="AK93" s="17"/>
      <c r="AL93" s="1"/>
      <c r="AM93" s="1"/>
      <c r="AN93" s="1"/>
      <c r="AO93" s="17">
        <f t="shared" si="21"/>
        <v>0</v>
      </c>
      <c r="AP93" s="21"/>
      <c r="AQ93" s="1">
        <v>0</v>
      </c>
      <c r="AR93" s="1"/>
      <c r="AS93" s="1">
        <v>0</v>
      </c>
      <c r="AT93" s="1"/>
      <c r="AU93" s="17">
        <f t="shared" si="22"/>
        <v>0</v>
      </c>
      <c r="AV93" s="79"/>
      <c r="AW93" s="68" t="s">
        <v>80</v>
      </c>
      <c r="AX93" s="79"/>
      <c r="AY93" s="1"/>
      <c r="AZ93" s="1"/>
      <c r="BA93" s="1"/>
      <c r="BB93" s="1"/>
      <c r="BC93" s="1"/>
      <c r="BD93" s="1"/>
      <c r="BE93" s="1"/>
      <c r="BF93" s="1"/>
      <c r="BG93" s="17">
        <f t="shared" si="24"/>
        <v>0</v>
      </c>
      <c r="BH93" s="65"/>
    </row>
    <row r="94" spans="1:60" ht="12.75" hidden="1">
      <c r="A94" s="63" t="s">
        <v>81</v>
      </c>
      <c r="B94" s="79"/>
      <c r="C94" s="17">
        <f t="shared" si="23"/>
        <v>0</v>
      </c>
      <c r="D94" s="17"/>
      <c r="E94" s="17"/>
      <c r="F94" s="17"/>
      <c r="G94" s="17"/>
      <c r="H94" s="17"/>
      <c r="I94" s="17">
        <f t="shared" si="17"/>
        <v>0</v>
      </c>
      <c r="J94" s="17"/>
      <c r="K94" s="17">
        <f t="shared" si="18"/>
        <v>0</v>
      </c>
      <c r="L94" s="17"/>
      <c r="M94" s="17"/>
      <c r="N94" s="17"/>
      <c r="O94" s="17"/>
      <c r="P94" s="17"/>
      <c r="Q94" s="17"/>
      <c r="R94" s="17"/>
      <c r="S94" s="17"/>
      <c r="T94" s="17"/>
      <c r="U94" s="17">
        <f t="shared" si="19"/>
        <v>0</v>
      </c>
      <c r="V94" s="79"/>
      <c r="W94" s="68" t="s">
        <v>81</v>
      </c>
      <c r="X94" s="79"/>
      <c r="Y94" s="17"/>
      <c r="Z94" s="1"/>
      <c r="AA94" s="17"/>
      <c r="AB94" s="1"/>
      <c r="AC94" s="17"/>
      <c r="AD94" s="1"/>
      <c r="AE94" s="17">
        <f t="shared" si="20"/>
        <v>0</v>
      </c>
      <c r="AF94" s="21"/>
      <c r="AG94" s="17"/>
      <c r="AH94" s="21"/>
      <c r="AI94" s="17"/>
      <c r="AJ94" s="1"/>
      <c r="AK94" s="17"/>
      <c r="AL94" s="1"/>
      <c r="AM94" s="1"/>
      <c r="AN94" s="1"/>
      <c r="AO94" s="17">
        <f t="shared" si="21"/>
        <v>0</v>
      </c>
      <c r="AP94" s="21"/>
      <c r="AQ94" s="1">
        <v>0</v>
      </c>
      <c r="AR94" s="1"/>
      <c r="AS94" s="1">
        <v>0</v>
      </c>
      <c r="AT94" s="1"/>
      <c r="AU94" s="17">
        <f t="shared" si="22"/>
        <v>0</v>
      </c>
      <c r="AV94" s="79"/>
      <c r="AW94" s="68" t="s">
        <v>81</v>
      </c>
      <c r="AX94" s="79"/>
      <c r="AY94" s="1"/>
      <c r="AZ94" s="1"/>
      <c r="BA94" s="1"/>
      <c r="BB94" s="1"/>
      <c r="BC94" s="1"/>
      <c r="BD94" s="1"/>
      <c r="BE94" s="1"/>
      <c r="BF94" s="1"/>
      <c r="BG94" s="17">
        <f t="shared" si="24"/>
        <v>0</v>
      </c>
      <c r="BH94" s="65"/>
    </row>
    <row r="95" spans="1:60" ht="12.75" hidden="1">
      <c r="A95" s="63" t="s">
        <v>136</v>
      </c>
      <c r="B95" s="79"/>
      <c r="C95" s="17">
        <f t="shared" si="23"/>
        <v>0</v>
      </c>
      <c r="D95" s="17"/>
      <c r="E95" s="17"/>
      <c r="F95" s="17"/>
      <c r="G95" s="17"/>
      <c r="H95" s="17"/>
      <c r="I95" s="17">
        <f t="shared" si="17"/>
        <v>0</v>
      </c>
      <c r="J95" s="17"/>
      <c r="K95" s="17">
        <f t="shared" si="18"/>
        <v>0</v>
      </c>
      <c r="L95" s="17"/>
      <c r="M95" s="17"/>
      <c r="N95" s="17"/>
      <c r="O95" s="17"/>
      <c r="P95" s="17"/>
      <c r="Q95" s="17"/>
      <c r="R95" s="17"/>
      <c r="S95" s="17"/>
      <c r="T95" s="17"/>
      <c r="U95" s="17">
        <f t="shared" si="19"/>
        <v>0</v>
      </c>
      <c r="V95" s="79"/>
      <c r="W95" s="68" t="s">
        <v>136</v>
      </c>
      <c r="X95" s="79"/>
      <c r="Y95" s="17"/>
      <c r="Z95" s="1"/>
      <c r="AA95" s="17"/>
      <c r="AB95" s="1"/>
      <c r="AC95" s="17"/>
      <c r="AD95" s="1"/>
      <c r="AE95" s="17">
        <f t="shared" si="20"/>
        <v>0</v>
      </c>
      <c r="AF95" s="21"/>
      <c r="AG95" s="17"/>
      <c r="AH95" s="21"/>
      <c r="AI95" s="17"/>
      <c r="AJ95" s="1"/>
      <c r="AK95" s="17"/>
      <c r="AL95" s="1"/>
      <c r="AM95" s="1"/>
      <c r="AN95" s="1"/>
      <c r="AO95" s="17">
        <f t="shared" si="21"/>
        <v>0</v>
      </c>
      <c r="AP95" s="21"/>
      <c r="AQ95" s="1">
        <v>0</v>
      </c>
      <c r="AR95" s="1"/>
      <c r="AS95" s="1">
        <v>0</v>
      </c>
      <c r="AT95" s="1"/>
      <c r="AU95" s="17">
        <f t="shared" si="22"/>
        <v>0</v>
      </c>
      <c r="AV95" s="79"/>
      <c r="AW95" s="68" t="s">
        <v>136</v>
      </c>
      <c r="AX95" s="79"/>
      <c r="AY95" s="1"/>
      <c r="AZ95" s="1"/>
      <c r="BA95" s="1"/>
      <c r="BB95" s="1"/>
      <c r="BC95" s="1"/>
      <c r="BD95" s="1"/>
      <c r="BE95" s="1"/>
      <c r="BF95" s="1"/>
      <c r="BG95" s="17">
        <f t="shared" si="24"/>
        <v>0</v>
      </c>
      <c r="BH95" s="65"/>
    </row>
    <row r="96" spans="1:60" ht="12.75" hidden="1">
      <c r="A96" s="63" t="s">
        <v>174</v>
      </c>
      <c r="B96" s="79"/>
      <c r="C96" s="17">
        <f t="shared" si="23"/>
        <v>0</v>
      </c>
      <c r="D96" s="17"/>
      <c r="E96" s="17"/>
      <c r="F96" s="17"/>
      <c r="G96" s="17"/>
      <c r="H96" s="17"/>
      <c r="I96" s="17">
        <f t="shared" si="17"/>
        <v>0</v>
      </c>
      <c r="J96" s="17"/>
      <c r="K96" s="17">
        <f t="shared" si="18"/>
        <v>0</v>
      </c>
      <c r="L96" s="17"/>
      <c r="M96" s="17"/>
      <c r="N96" s="17"/>
      <c r="O96" s="17"/>
      <c r="P96" s="17"/>
      <c r="Q96" s="17"/>
      <c r="R96" s="17"/>
      <c r="S96" s="17"/>
      <c r="T96" s="17"/>
      <c r="U96" s="17">
        <f t="shared" si="19"/>
        <v>0</v>
      </c>
      <c r="V96" s="79"/>
      <c r="W96" s="68" t="s">
        <v>174</v>
      </c>
      <c r="X96" s="79"/>
      <c r="Y96" s="17"/>
      <c r="Z96" s="1"/>
      <c r="AA96" s="17"/>
      <c r="AB96" s="1"/>
      <c r="AC96" s="17"/>
      <c r="AD96" s="1"/>
      <c r="AE96" s="17">
        <f t="shared" si="20"/>
        <v>0</v>
      </c>
      <c r="AF96" s="21"/>
      <c r="AG96" s="17"/>
      <c r="AH96" s="21"/>
      <c r="AI96" s="17"/>
      <c r="AJ96" s="1"/>
      <c r="AK96" s="17"/>
      <c r="AL96" s="1"/>
      <c r="AM96" s="1"/>
      <c r="AN96" s="1"/>
      <c r="AO96" s="17">
        <f t="shared" si="21"/>
        <v>0</v>
      </c>
      <c r="AP96" s="21"/>
      <c r="AQ96" s="1">
        <v>0</v>
      </c>
      <c r="AR96" s="1"/>
      <c r="AS96" s="1">
        <v>0</v>
      </c>
      <c r="AT96" s="1"/>
      <c r="AU96" s="17">
        <f t="shared" si="22"/>
        <v>0</v>
      </c>
      <c r="AV96" s="79"/>
      <c r="AW96" s="68" t="s">
        <v>174</v>
      </c>
      <c r="AX96" s="79"/>
      <c r="AY96" s="1"/>
      <c r="AZ96" s="1"/>
      <c r="BA96" s="1"/>
      <c r="BB96" s="1"/>
      <c r="BC96" s="1"/>
      <c r="BD96" s="1"/>
      <c r="BE96" s="1"/>
      <c r="BF96" s="1"/>
      <c r="BG96" s="17">
        <f t="shared" si="24"/>
        <v>0</v>
      </c>
      <c r="BH96" s="65"/>
    </row>
    <row r="97" spans="1:60" ht="12.75">
      <c r="A97" s="63" t="s">
        <v>83</v>
      </c>
      <c r="B97" s="79"/>
      <c r="C97" s="17">
        <f t="shared" si="23"/>
        <v>2047882</v>
      </c>
      <c r="D97" s="17"/>
      <c r="E97" s="17">
        <v>2700754</v>
      </c>
      <c r="F97" s="17"/>
      <c r="G97" s="17">
        <v>4748636</v>
      </c>
      <c r="H97" s="17"/>
      <c r="I97" s="17">
        <f t="shared" si="17"/>
        <v>533104</v>
      </c>
      <c r="J97" s="17"/>
      <c r="K97" s="17">
        <f t="shared" si="18"/>
        <v>6424496</v>
      </c>
      <c r="L97" s="17"/>
      <c r="M97" s="17">
        <v>6957600</v>
      </c>
      <c r="N97" s="17"/>
      <c r="O97" s="17">
        <v>703412</v>
      </c>
      <c r="P97" s="17"/>
      <c r="Q97" s="17">
        <v>0</v>
      </c>
      <c r="R97" s="17"/>
      <c r="S97" s="17">
        <v>-2912376</v>
      </c>
      <c r="T97" s="17"/>
      <c r="U97" s="17">
        <f t="shared" si="19"/>
        <v>-2208964</v>
      </c>
      <c r="V97" s="17"/>
      <c r="W97" s="68" t="s">
        <v>83</v>
      </c>
      <c r="X97" s="17"/>
      <c r="Y97" s="17">
        <v>1750724</v>
      </c>
      <c r="Z97" s="1"/>
      <c r="AA97" s="17">
        <f>2164713-499748</f>
        <v>1664965</v>
      </c>
      <c r="AB97" s="1"/>
      <c r="AC97" s="17">
        <v>499748</v>
      </c>
      <c r="AD97" s="1"/>
      <c r="AE97" s="17">
        <f t="shared" si="20"/>
        <v>-413989</v>
      </c>
      <c r="AF97" s="21"/>
      <c r="AG97" s="17">
        <v>-138581</v>
      </c>
      <c r="AH97" s="21"/>
      <c r="AI97" s="17">
        <v>554844</v>
      </c>
      <c r="AJ97" s="1"/>
      <c r="AK97" s="17">
        <v>375</v>
      </c>
      <c r="AL97" s="1"/>
      <c r="AM97" s="1">
        <v>0</v>
      </c>
      <c r="AN97" s="1"/>
      <c r="AO97" s="17">
        <f t="shared" si="21"/>
        <v>1899</v>
      </c>
      <c r="AP97" s="21"/>
      <c r="AQ97" s="1">
        <v>0</v>
      </c>
      <c r="AR97" s="1"/>
      <c r="AS97" s="1">
        <v>0</v>
      </c>
      <c r="AT97" s="1"/>
      <c r="AU97" s="17">
        <f t="shared" si="22"/>
        <v>1514778</v>
      </c>
      <c r="AV97" s="1"/>
      <c r="AW97" s="68" t="s">
        <v>83</v>
      </c>
      <c r="AX97" s="1"/>
      <c r="AY97" s="1">
        <v>602967</v>
      </c>
      <c r="AZ97" s="1"/>
      <c r="BA97" s="1">
        <v>0</v>
      </c>
      <c r="BB97" s="1"/>
      <c r="BC97" s="1">
        <v>0</v>
      </c>
      <c r="BD97" s="1"/>
      <c r="BE97" s="1">
        <f>17266+4852730+951533</f>
        <v>5821529</v>
      </c>
      <c r="BF97" s="1"/>
      <c r="BG97" s="17">
        <f t="shared" si="24"/>
        <v>6424496</v>
      </c>
      <c r="BH97" s="65"/>
    </row>
    <row r="98" spans="1:60" ht="12.75" hidden="1">
      <c r="A98" s="63" t="s">
        <v>175</v>
      </c>
      <c r="B98" s="79"/>
      <c r="C98" s="17">
        <f t="shared" si="23"/>
        <v>0</v>
      </c>
      <c r="D98" s="17"/>
      <c r="E98" s="17"/>
      <c r="F98" s="17"/>
      <c r="G98" s="17"/>
      <c r="H98" s="17"/>
      <c r="I98" s="17">
        <f>M98-K98</f>
        <v>0</v>
      </c>
      <c r="J98" s="17"/>
      <c r="K98" s="17">
        <f>SUM(BG98)</f>
        <v>0</v>
      </c>
      <c r="L98" s="17"/>
      <c r="M98" s="17"/>
      <c r="N98" s="17"/>
      <c r="O98" s="17"/>
      <c r="P98" s="17"/>
      <c r="Q98" s="17"/>
      <c r="R98" s="17"/>
      <c r="S98" s="17"/>
      <c r="T98" s="17"/>
      <c r="U98" s="17">
        <f>SUM(O98:S98)</f>
        <v>0</v>
      </c>
      <c r="V98" s="79"/>
      <c r="W98" s="68" t="s">
        <v>175</v>
      </c>
      <c r="X98" s="79"/>
      <c r="Y98" s="1"/>
      <c r="Z98" s="1"/>
      <c r="AA98" s="1"/>
      <c r="AB98" s="1"/>
      <c r="AC98" s="1"/>
      <c r="AD98" s="1"/>
      <c r="AE98" s="17">
        <f>+Y98-AA98-AC98</f>
        <v>0</v>
      </c>
      <c r="AF98" s="21"/>
      <c r="AG98" s="21"/>
      <c r="AH98" s="21"/>
      <c r="AI98" s="1"/>
      <c r="AJ98" s="1"/>
      <c r="AK98" s="1"/>
      <c r="AL98" s="1"/>
      <c r="AM98" s="1"/>
      <c r="AN98" s="1"/>
      <c r="AO98" s="17">
        <f>+AE98+AG98+AI98-AK98+AM98</f>
        <v>0</v>
      </c>
      <c r="AP98" s="21"/>
      <c r="AQ98" s="1">
        <v>0</v>
      </c>
      <c r="AR98" s="1"/>
      <c r="AS98" s="1">
        <v>0</v>
      </c>
      <c r="AT98" s="1"/>
      <c r="AU98" s="17">
        <f>+C98-I98</f>
        <v>0</v>
      </c>
      <c r="AV98" s="79"/>
      <c r="AW98" s="68" t="s">
        <v>175</v>
      </c>
      <c r="AX98" s="79"/>
      <c r="AY98" s="1"/>
      <c r="AZ98" s="1"/>
      <c r="BA98" s="1"/>
      <c r="BB98" s="1"/>
      <c r="BC98" s="1"/>
      <c r="BD98" s="1"/>
      <c r="BE98" s="1"/>
      <c r="BF98" s="1"/>
      <c r="BG98" s="17">
        <f>SUM(AY98:BE98)</f>
        <v>0</v>
      </c>
      <c r="BH98" s="65"/>
    </row>
    <row r="99" spans="1:60" ht="12.75">
      <c r="A99" s="63"/>
      <c r="B99" s="5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68"/>
      <c r="X99" s="73"/>
      <c r="Y99" s="73"/>
      <c r="Z99" s="73"/>
      <c r="AA99" s="74"/>
      <c r="AB99" s="74"/>
      <c r="AC99" s="74"/>
      <c r="AD99" s="74"/>
      <c r="AE99" s="73"/>
      <c r="AF99" s="75"/>
      <c r="AG99" s="75"/>
      <c r="AH99" s="75"/>
      <c r="AI99" s="75"/>
      <c r="AJ99" s="75"/>
      <c r="AK99" s="75"/>
      <c r="AL99" s="75"/>
      <c r="AM99" s="70"/>
      <c r="AN99" s="70"/>
      <c r="AO99" s="73"/>
      <c r="AP99" s="70"/>
      <c r="AQ99" s="70"/>
      <c r="AR99" s="70"/>
      <c r="AS99" s="70"/>
      <c r="AT99" s="70"/>
      <c r="AU99" s="73"/>
      <c r="AV99" s="70"/>
      <c r="AW99" s="68"/>
      <c r="AX99" s="70"/>
      <c r="AY99" s="70"/>
      <c r="AZ99" s="70"/>
      <c r="BA99" s="70"/>
      <c r="BB99" s="70"/>
      <c r="BC99" s="70"/>
      <c r="BD99" s="70"/>
      <c r="BE99" s="70"/>
      <c r="BF99" s="70"/>
      <c r="BG99" s="73"/>
      <c r="BH99" s="65"/>
    </row>
    <row r="100" spans="1:60" ht="12.75">
      <c r="A100" s="6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63"/>
      <c r="X100" s="53"/>
      <c r="Y100" s="53"/>
      <c r="Z100" s="53"/>
      <c r="AA100" s="71"/>
      <c r="AB100" s="71"/>
      <c r="AC100" s="71"/>
      <c r="AD100" s="71"/>
      <c r="AE100" s="53"/>
      <c r="AF100" s="72"/>
      <c r="AG100" s="72"/>
      <c r="AH100" s="72"/>
      <c r="AI100" s="72"/>
      <c r="AJ100" s="72"/>
      <c r="AK100" s="72"/>
      <c r="AL100" s="72"/>
      <c r="AM100" s="65"/>
      <c r="AN100" s="65"/>
      <c r="AO100" s="53"/>
      <c r="AP100" s="65"/>
      <c r="AQ100" s="65"/>
      <c r="AR100" s="65"/>
      <c r="AS100" s="65"/>
      <c r="AT100" s="65"/>
      <c r="AU100" s="53"/>
      <c r="AV100" s="65"/>
      <c r="AW100" s="63"/>
      <c r="AX100" s="65"/>
      <c r="AY100" s="65"/>
      <c r="AZ100" s="65"/>
      <c r="BA100" s="65"/>
      <c r="BB100" s="65"/>
      <c r="BC100" s="65"/>
      <c r="BD100" s="65"/>
      <c r="BE100" s="65"/>
      <c r="BF100" s="65"/>
      <c r="BG100" s="53"/>
      <c r="BH100" s="65"/>
    </row>
    <row r="101" spans="1:60" ht="12.75">
      <c r="A101" s="6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63"/>
      <c r="X101" s="53"/>
      <c r="Y101" s="53">
        <f>SUM(Y12:Y99)</f>
        <v>63453279</v>
      </c>
      <c r="Z101" s="53"/>
      <c r="AA101" s="71"/>
      <c r="AB101" s="71"/>
      <c r="AC101" s="71">
        <f>SUM(AA13:AC99)</f>
        <v>56127795</v>
      </c>
      <c r="AD101" s="71"/>
      <c r="AE101" s="53"/>
      <c r="AF101" s="72"/>
      <c r="AG101" s="72"/>
      <c r="AH101" s="72"/>
      <c r="AI101" s="72"/>
      <c r="AJ101" s="72"/>
      <c r="AK101" s="72"/>
      <c r="AL101" s="72"/>
      <c r="AM101" s="65"/>
      <c r="AN101" s="65"/>
      <c r="AO101" s="53"/>
      <c r="AP101" s="65"/>
      <c r="AQ101" s="65"/>
      <c r="AR101" s="65"/>
      <c r="AS101" s="65"/>
      <c r="AT101" s="65"/>
      <c r="AU101" s="53"/>
      <c r="AV101" s="65"/>
      <c r="AW101" s="63"/>
      <c r="AX101" s="65"/>
      <c r="AY101" s="65"/>
      <c r="AZ101" s="65"/>
      <c r="BA101" s="65"/>
      <c r="BB101" s="65"/>
      <c r="BC101" s="65"/>
      <c r="BD101" s="65"/>
      <c r="BE101" s="65"/>
      <c r="BF101" s="65"/>
      <c r="BG101" s="53"/>
      <c r="BH101" s="65"/>
    </row>
    <row r="102" spans="1:60" ht="12.75">
      <c r="A102" s="6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63"/>
      <c r="X102" s="53"/>
      <c r="Y102" s="53"/>
      <c r="Z102" s="53"/>
      <c r="AA102" s="71"/>
      <c r="AB102" s="71"/>
      <c r="AC102" s="71"/>
      <c r="AD102" s="71"/>
      <c r="AE102" s="53"/>
      <c r="AF102" s="72"/>
      <c r="AG102" s="72"/>
      <c r="AH102" s="72"/>
      <c r="AI102" s="72"/>
      <c r="AJ102" s="72"/>
      <c r="AK102" s="72"/>
      <c r="AL102" s="72"/>
      <c r="AM102" s="65"/>
      <c r="AN102" s="65"/>
      <c r="AO102" s="53"/>
      <c r="AP102" s="65"/>
      <c r="AQ102" s="65"/>
      <c r="AR102" s="65"/>
      <c r="AS102" s="65"/>
      <c r="AT102" s="65"/>
      <c r="AU102" s="53"/>
      <c r="AV102" s="65"/>
      <c r="AW102" s="63"/>
      <c r="AX102" s="65"/>
      <c r="AY102" s="65"/>
      <c r="AZ102" s="65"/>
      <c r="BA102" s="65"/>
      <c r="BB102" s="65"/>
      <c r="BC102" s="65"/>
      <c r="BD102" s="65"/>
      <c r="BE102" s="65"/>
      <c r="BF102" s="65"/>
      <c r="BG102" s="53"/>
      <c r="BH102" s="65"/>
    </row>
    <row r="103" spans="1:60" ht="12.75">
      <c r="A103" s="6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71"/>
      <c r="AB103" s="71"/>
      <c r="AC103" s="71"/>
      <c r="AD103" s="71"/>
      <c r="AE103" s="53"/>
      <c r="AF103" s="72"/>
      <c r="AG103" s="72"/>
      <c r="AH103" s="72"/>
      <c r="AI103" s="72"/>
      <c r="AJ103" s="72"/>
      <c r="AK103" s="72"/>
      <c r="AL103" s="72"/>
      <c r="AM103" s="65"/>
      <c r="AN103" s="65"/>
      <c r="AO103" s="53"/>
      <c r="AP103" s="65"/>
      <c r="AQ103" s="65"/>
      <c r="AR103" s="65"/>
      <c r="AS103" s="65"/>
      <c r="AT103" s="65"/>
      <c r="AU103" s="53"/>
      <c r="AV103" s="65"/>
      <c r="AW103" s="53"/>
      <c r="AX103" s="65"/>
      <c r="AY103" s="65"/>
      <c r="AZ103" s="65"/>
      <c r="BA103" s="65"/>
      <c r="BB103" s="65"/>
      <c r="BC103" s="65"/>
      <c r="BD103" s="65"/>
      <c r="BE103" s="65"/>
      <c r="BF103" s="65"/>
      <c r="BG103" s="53"/>
      <c r="BH103" s="65"/>
    </row>
    <row r="104" spans="1:60" ht="12.75">
      <c r="A104" s="6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71"/>
      <c r="AB104" s="71"/>
      <c r="AC104" s="71"/>
      <c r="AD104" s="71"/>
      <c r="AE104" s="53"/>
      <c r="AF104" s="72"/>
      <c r="AG104" s="72"/>
      <c r="AH104" s="72"/>
      <c r="AI104" s="72"/>
      <c r="AJ104" s="72"/>
      <c r="AK104" s="72"/>
      <c r="AL104" s="72"/>
      <c r="AM104" s="65"/>
      <c r="AN104" s="65"/>
      <c r="AO104" s="53"/>
      <c r="AP104" s="65"/>
      <c r="AQ104" s="65"/>
      <c r="AR104" s="65"/>
      <c r="AS104" s="65"/>
      <c r="AT104" s="65"/>
      <c r="AU104" s="53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53"/>
      <c r="BH104" s="65"/>
    </row>
    <row r="105" spans="1:60" ht="12.75">
      <c r="A105" s="6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71"/>
      <c r="AB105" s="71"/>
      <c r="AC105" s="71"/>
      <c r="AD105" s="71"/>
      <c r="AE105" s="53"/>
      <c r="AF105" s="72"/>
      <c r="AG105" s="72"/>
      <c r="AH105" s="72"/>
      <c r="AI105" s="72"/>
      <c r="AJ105" s="72"/>
      <c r="AK105" s="72"/>
      <c r="AL105" s="72"/>
      <c r="AM105" s="65"/>
      <c r="AN105" s="65"/>
      <c r="AO105" s="53"/>
      <c r="AP105" s="65"/>
      <c r="AQ105" s="65"/>
      <c r="AR105" s="65"/>
      <c r="AS105" s="65"/>
      <c r="AT105" s="65"/>
      <c r="AU105" s="53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53"/>
      <c r="BH105" s="65"/>
    </row>
    <row r="106" spans="1:60" ht="12.75">
      <c r="A106" s="6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71"/>
      <c r="AB106" s="71"/>
      <c r="AC106" s="71"/>
      <c r="AD106" s="71"/>
      <c r="AE106" s="53"/>
      <c r="AF106" s="72"/>
      <c r="AG106" s="72"/>
      <c r="AH106" s="72"/>
      <c r="AI106" s="72"/>
      <c r="AJ106" s="72"/>
      <c r="AK106" s="72"/>
      <c r="AL106" s="72"/>
      <c r="AM106" s="65"/>
      <c r="AN106" s="65"/>
      <c r="AO106" s="53"/>
      <c r="AP106" s="65"/>
      <c r="AQ106" s="65"/>
      <c r="AR106" s="65"/>
      <c r="AS106" s="65"/>
      <c r="AT106" s="65"/>
      <c r="AU106" s="53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53"/>
      <c r="BH106" s="65"/>
    </row>
    <row r="107" spans="1:60" ht="12.75">
      <c r="A107" s="6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71"/>
      <c r="AB107" s="71"/>
      <c r="AC107" s="71"/>
      <c r="AD107" s="71"/>
      <c r="AE107" s="53"/>
      <c r="AF107" s="72"/>
      <c r="AG107" s="72"/>
      <c r="AH107" s="72"/>
      <c r="AI107" s="72"/>
      <c r="AJ107" s="72"/>
      <c r="AK107" s="72"/>
      <c r="AL107" s="72"/>
      <c r="AM107" s="65"/>
      <c r="AN107" s="65"/>
      <c r="AO107" s="53"/>
      <c r="AP107" s="65"/>
      <c r="AQ107" s="65"/>
      <c r="AR107" s="65"/>
      <c r="AS107" s="65"/>
      <c r="AT107" s="65"/>
      <c r="AU107" s="53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53"/>
      <c r="BH107" s="65"/>
    </row>
    <row r="108" spans="1:60" ht="12.75">
      <c r="A108" s="6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71"/>
      <c r="AB108" s="71"/>
      <c r="AC108" s="71"/>
      <c r="AD108" s="71"/>
      <c r="AE108" s="53"/>
      <c r="AF108" s="72"/>
      <c r="AG108" s="72"/>
      <c r="AH108" s="72"/>
      <c r="AI108" s="72"/>
      <c r="AJ108" s="72"/>
      <c r="AK108" s="72"/>
      <c r="AL108" s="72"/>
      <c r="AM108" s="65"/>
      <c r="AN108" s="65"/>
      <c r="AO108" s="53"/>
      <c r="AP108" s="65"/>
      <c r="AQ108" s="65"/>
      <c r="AR108" s="65"/>
      <c r="AS108" s="65"/>
      <c r="AT108" s="65"/>
      <c r="AU108" s="53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53"/>
      <c r="BH108" s="65"/>
    </row>
    <row r="109" spans="1:60" ht="12.75">
      <c r="A109" s="6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71"/>
      <c r="AB109" s="71"/>
      <c r="AC109" s="71"/>
      <c r="AD109" s="71"/>
      <c r="AE109" s="53"/>
      <c r="AF109" s="72"/>
      <c r="AG109" s="72"/>
      <c r="AH109" s="72"/>
      <c r="AI109" s="72"/>
      <c r="AJ109" s="72"/>
      <c r="AK109" s="72"/>
      <c r="AL109" s="72"/>
      <c r="AM109" s="65"/>
      <c r="AN109" s="65"/>
      <c r="AO109" s="53"/>
      <c r="AP109" s="65"/>
      <c r="AQ109" s="65"/>
      <c r="AR109" s="65"/>
      <c r="AS109" s="65"/>
      <c r="AT109" s="65"/>
      <c r="AU109" s="53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53"/>
      <c r="BH109" s="65"/>
    </row>
    <row r="110" spans="1:60" ht="12.75">
      <c r="A110" s="6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71"/>
      <c r="AB110" s="71"/>
      <c r="AC110" s="71"/>
      <c r="AD110" s="71"/>
      <c r="AE110" s="53"/>
      <c r="AF110" s="72"/>
      <c r="AG110" s="72"/>
      <c r="AH110" s="72"/>
      <c r="AI110" s="72"/>
      <c r="AJ110" s="72"/>
      <c r="AK110" s="72"/>
      <c r="AL110" s="72"/>
      <c r="AM110" s="65"/>
      <c r="AN110" s="65"/>
      <c r="AO110" s="53"/>
      <c r="AP110" s="65"/>
      <c r="AQ110" s="65"/>
      <c r="AR110" s="65"/>
      <c r="AS110" s="65"/>
      <c r="AT110" s="65"/>
      <c r="AU110" s="53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53"/>
      <c r="BH110" s="65"/>
    </row>
    <row r="111" spans="1:60" ht="12.75">
      <c r="A111" s="6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71"/>
      <c r="AB111" s="71"/>
      <c r="AC111" s="71"/>
      <c r="AD111" s="71"/>
      <c r="AE111" s="53"/>
      <c r="AF111" s="72"/>
      <c r="AG111" s="72"/>
      <c r="AH111" s="72"/>
      <c r="AI111" s="72"/>
      <c r="AJ111" s="72"/>
      <c r="AK111" s="72"/>
      <c r="AL111" s="72"/>
      <c r="AM111" s="65"/>
      <c r="AN111" s="65"/>
      <c r="AO111" s="53"/>
      <c r="AP111" s="65"/>
      <c r="AQ111" s="65"/>
      <c r="AR111" s="65"/>
      <c r="AS111" s="65"/>
      <c r="AT111" s="65"/>
      <c r="AU111" s="53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53"/>
      <c r="BH111" s="65"/>
    </row>
    <row r="112" spans="2:60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71"/>
      <c r="AB112" s="71"/>
      <c r="AC112" s="71"/>
      <c r="AD112" s="71"/>
      <c r="AE112" s="53"/>
      <c r="AF112" s="72"/>
      <c r="AG112" s="72"/>
      <c r="AH112" s="72"/>
      <c r="AI112" s="72"/>
      <c r="AJ112" s="72"/>
      <c r="AK112" s="72"/>
      <c r="AL112" s="72"/>
      <c r="AM112" s="65"/>
      <c r="AN112" s="65"/>
      <c r="AO112" s="53"/>
      <c r="AP112" s="65"/>
      <c r="AQ112" s="65"/>
      <c r="AR112" s="65"/>
      <c r="AS112" s="65"/>
      <c r="AT112" s="65"/>
      <c r="AU112" s="53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53"/>
      <c r="BH112" s="65"/>
    </row>
  </sheetData>
  <printOptions/>
  <pageMargins left="0.75" right="0.75" top="0.5" bottom="0.5" header="0" footer="0.25"/>
  <pageSetup firstPageNumber="52" useFirstPageNumber="1" horizontalDpi="600" verticalDpi="600" orientation="portrait" r:id="rId1"/>
  <headerFooter alignWithMargins="0">
    <oddFooter>&amp;C&amp;"Times New Roman,Regular"&amp;11&amp;P</oddFooter>
  </headerFooter>
  <colBreaks count="2" manualBreakCount="2">
    <brk id="22" max="97" man="1"/>
    <brk id="48" max="9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W108"/>
  <sheetViews>
    <sheetView zoomScaleSheetLayoutView="75" workbookViewId="0" topLeftCell="A1">
      <selection activeCell="M4" sqref="M4"/>
    </sheetView>
  </sheetViews>
  <sheetFormatPr defaultColWidth="9.140625" defaultRowHeight="12.75"/>
  <cols>
    <col min="1" max="1" width="20.421875" style="85" customWidth="1"/>
    <col min="2" max="2" width="1.7109375" style="85" customWidth="1"/>
    <col min="3" max="3" width="11.7109375" style="85" customWidth="1"/>
    <col min="4" max="4" width="1.7109375" style="85" customWidth="1"/>
    <col min="5" max="5" width="11.7109375" style="85" customWidth="1"/>
    <col min="6" max="6" width="1.7109375" style="85" customWidth="1"/>
    <col min="7" max="7" width="11.7109375" style="85" customWidth="1"/>
    <col min="8" max="8" width="1.7109375" style="85" customWidth="1"/>
    <col min="9" max="9" width="11.7109375" style="85" customWidth="1"/>
    <col min="10" max="10" width="1.7109375" style="85" customWidth="1"/>
    <col min="11" max="11" width="11.7109375" style="85" customWidth="1"/>
    <col min="12" max="12" width="1.7109375" style="85" customWidth="1"/>
    <col min="13" max="13" width="12.7109375" style="85" customWidth="1"/>
    <col min="14" max="14" width="1.7109375" style="85" customWidth="1"/>
    <col min="15" max="15" width="12.7109375" style="85" customWidth="1"/>
    <col min="16" max="16" width="1.7109375" style="85" customWidth="1"/>
    <col min="17" max="17" width="12.7109375" style="85" customWidth="1"/>
    <col min="18" max="18" width="10.140625" style="85" bestFit="1" customWidth="1"/>
    <col min="19" max="19" width="11.8515625" style="85" customWidth="1"/>
    <col min="20" max="20" width="10.140625" style="85" bestFit="1" customWidth="1"/>
    <col min="21" max="21" width="12.28125" style="78" bestFit="1" customWidth="1"/>
    <col min="22" max="22" width="9.140625" style="78" customWidth="1"/>
    <col min="23" max="23" width="11.140625" style="78" bestFit="1" customWidth="1"/>
    <col min="24" max="16384" width="9.140625" style="78" customWidth="1"/>
  </cols>
  <sheetData>
    <row r="1" spans="1:20" s="46" customFormat="1" ht="12.75">
      <c r="A1" s="43" t="s">
        <v>241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23"/>
      <c r="S1" s="23"/>
      <c r="T1" s="82"/>
    </row>
    <row r="2" spans="1:20" s="46" customFormat="1" ht="12.75">
      <c r="A2" s="43" t="s">
        <v>247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23"/>
      <c r="S2" s="23"/>
      <c r="T2" s="82"/>
    </row>
    <row r="3" spans="1:20" s="46" customFormat="1" ht="12.75">
      <c r="A3" s="36" t="s">
        <v>187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23"/>
      <c r="S3" s="23"/>
      <c r="T3" s="82"/>
    </row>
    <row r="4" spans="1:20" s="46" customFormat="1" ht="12.75">
      <c r="A4" s="15" t="s">
        <v>261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23"/>
      <c r="S4" s="23"/>
      <c r="T4" s="82"/>
    </row>
    <row r="5" spans="1:19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14"/>
      <c r="S5" s="14"/>
    </row>
    <row r="6" spans="1:18" ht="12.75">
      <c r="A6" s="43"/>
      <c r="B6" s="8"/>
      <c r="C6" s="8" t="s">
        <v>103</v>
      </c>
      <c r="D6" s="8"/>
      <c r="E6" s="8" t="s">
        <v>2</v>
      </c>
      <c r="F6" s="8"/>
      <c r="G6" s="8"/>
      <c r="H6" s="8"/>
      <c r="I6" s="8"/>
      <c r="J6" s="8"/>
      <c r="K6" s="8"/>
      <c r="L6" s="8"/>
      <c r="M6" s="8"/>
      <c r="N6" s="8"/>
      <c r="O6" s="8" t="s">
        <v>124</v>
      </c>
      <c r="P6" s="8"/>
      <c r="Q6" s="8"/>
      <c r="R6" s="14"/>
    </row>
    <row r="7" spans="1:21" ht="12.75">
      <c r="A7" s="8"/>
      <c r="B7" s="8"/>
      <c r="C7" s="8" t="s">
        <v>107</v>
      </c>
      <c r="D7" s="8"/>
      <c r="E7" s="8" t="s">
        <v>127</v>
      </c>
      <c r="F7" s="8"/>
      <c r="G7" s="8" t="s">
        <v>126</v>
      </c>
      <c r="H7" s="8"/>
      <c r="I7" s="8" t="s">
        <v>114</v>
      </c>
      <c r="J7" s="8"/>
      <c r="K7" s="8" t="s">
        <v>87</v>
      </c>
      <c r="L7" s="8"/>
      <c r="M7" s="8" t="s">
        <v>125</v>
      </c>
      <c r="N7" s="8"/>
      <c r="O7" s="8" t="s">
        <v>105</v>
      </c>
      <c r="P7" s="8"/>
      <c r="Q7" s="8" t="s">
        <v>4</v>
      </c>
      <c r="R7" s="14"/>
      <c r="S7" s="14" t="s">
        <v>226</v>
      </c>
      <c r="U7" s="78" t="s">
        <v>224</v>
      </c>
    </row>
    <row r="8" spans="1:21" ht="12.75">
      <c r="A8" s="39" t="s">
        <v>5</v>
      </c>
      <c r="B8" s="8"/>
      <c r="C8" s="39" t="s">
        <v>113</v>
      </c>
      <c r="D8" s="8"/>
      <c r="E8" s="39" t="s">
        <v>113</v>
      </c>
      <c r="F8" s="8"/>
      <c r="G8" s="39" t="s">
        <v>130</v>
      </c>
      <c r="H8" s="8"/>
      <c r="I8" s="39" t="s">
        <v>131</v>
      </c>
      <c r="J8" s="8"/>
      <c r="K8" s="39" t="s">
        <v>128</v>
      </c>
      <c r="L8" s="8"/>
      <c r="M8" s="39" t="s">
        <v>129</v>
      </c>
      <c r="N8" s="8"/>
      <c r="O8" s="39" t="s">
        <v>122</v>
      </c>
      <c r="P8" s="8"/>
      <c r="Q8" s="39" t="s">
        <v>122</v>
      </c>
      <c r="R8" s="4"/>
      <c r="S8" s="105" t="s">
        <v>227</v>
      </c>
      <c r="U8" s="106" t="s">
        <v>228</v>
      </c>
    </row>
    <row r="9" spans="1:2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4"/>
      <c r="S9" s="4"/>
      <c r="U9" s="80"/>
    </row>
    <row r="10" spans="1:21" ht="12.75" hidden="1">
      <c r="A10" s="76" t="s">
        <v>251</v>
      </c>
      <c r="B10" s="8"/>
      <c r="C10" s="27">
        <v>0</v>
      </c>
      <c r="D10" s="27"/>
      <c r="E10" s="27">
        <v>0</v>
      </c>
      <c r="F10" s="27"/>
      <c r="G10" s="27">
        <v>0</v>
      </c>
      <c r="H10" s="27"/>
      <c r="I10" s="27">
        <v>0</v>
      </c>
      <c r="J10" s="27"/>
      <c r="K10" s="27">
        <v>0</v>
      </c>
      <c r="L10" s="27"/>
      <c r="M10" s="27">
        <v>0</v>
      </c>
      <c r="N10" s="27"/>
      <c r="O10" s="27">
        <v>0</v>
      </c>
      <c r="P10" s="27"/>
      <c r="Q10" s="27">
        <f>SUM(C10:O10)</f>
        <v>0</v>
      </c>
      <c r="R10" s="19"/>
      <c r="S10" s="27">
        <v>0</v>
      </c>
      <c r="U10" s="79">
        <f>+Q10-'St of Net Assets - GA'!M9-'LT _Lia - GA'!S10</f>
        <v>0</v>
      </c>
    </row>
    <row r="11" spans="1:23" ht="12.75">
      <c r="A11" s="14" t="s">
        <v>13</v>
      </c>
      <c r="B11" s="14"/>
      <c r="C11" s="27">
        <v>12133907</v>
      </c>
      <c r="D11" s="27"/>
      <c r="E11" s="27">
        <f>6668698-172607</f>
        <v>6496091</v>
      </c>
      <c r="F11" s="27"/>
      <c r="G11" s="27">
        <f>2825000+3854000</f>
        <v>6679000</v>
      </c>
      <c r="H11" s="27"/>
      <c r="I11" s="27">
        <f>95771+165034+945886+135232+654684+419816</f>
        <v>2416423</v>
      </c>
      <c r="J11" s="27"/>
      <c r="K11" s="27">
        <v>161833</v>
      </c>
      <c r="L11" s="27"/>
      <c r="M11" s="27">
        <v>2733476</v>
      </c>
      <c r="N11" s="27"/>
      <c r="O11" s="27">
        <v>435000</v>
      </c>
      <c r="P11" s="27"/>
      <c r="Q11" s="27">
        <f>SUM(C11:O11)</f>
        <v>31055730</v>
      </c>
      <c r="R11" s="19"/>
      <c r="S11" s="27">
        <v>9987814</v>
      </c>
      <c r="U11" s="79">
        <f>+Q11-'St of Net Assets - GA'!M10-'LT _Lia - GA'!S11</f>
        <v>0</v>
      </c>
      <c r="W11" s="79"/>
    </row>
    <row r="12" spans="1:21" ht="12.75">
      <c r="A12" s="14" t="s">
        <v>14</v>
      </c>
      <c r="B12" s="14"/>
      <c r="C12" s="13">
        <v>4290000</v>
      </c>
      <c r="D12" s="13"/>
      <c r="E12" s="13">
        <v>0</v>
      </c>
      <c r="F12" s="13"/>
      <c r="G12" s="13">
        <v>0</v>
      </c>
      <c r="H12" s="13"/>
      <c r="I12" s="13">
        <v>0</v>
      </c>
      <c r="J12" s="13"/>
      <c r="K12" s="13">
        <v>0</v>
      </c>
      <c r="L12" s="13"/>
      <c r="M12" s="13">
        <v>949483</v>
      </c>
      <c r="N12" s="13"/>
      <c r="O12" s="13">
        <v>0</v>
      </c>
      <c r="P12" s="13"/>
      <c r="Q12" s="13">
        <f aca="true" t="shared" si="0" ref="Q12:Q28">SUM(C12:O12)</f>
        <v>5239483</v>
      </c>
      <c r="R12" s="19"/>
      <c r="S12" s="13">
        <v>695399</v>
      </c>
      <c r="U12" s="79">
        <f>+Q12-'St of Net Assets - GA'!M11-'LT _Lia - GA'!S12</f>
        <v>0</v>
      </c>
    </row>
    <row r="13" spans="1:21" ht="12.75">
      <c r="A13" s="14" t="s">
        <v>15</v>
      </c>
      <c r="B13" s="14"/>
      <c r="C13" s="13">
        <v>6608943</v>
      </c>
      <c r="D13" s="13"/>
      <c r="E13" s="13">
        <v>0</v>
      </c>
      <c r="F13" s="13"/>
      <c r="G13" s="13">
        <v>0</v>
      </c>
      <c r="H13" s="13"/>
      <c r="I13" s="13">
        <v>140000</v>
      </c>
      <c r="J13" s="13"/>
      <c r="K13" s="13">
        <v>231153</v>
      </c>
      <c r="L13" s="13"/>
      <c r="M13" s="13">
        <v>2703998</v>
      </c>
      <c r="N13" s="13"/>
      <c r="O13" s="13">
        <v>0</v>
      </c>
      <c r="P13" s="13"/>
      <c r="Q13" s="13">
        <f t="shared" si="0"/>
        <v>9684094</v>
      </c>
      <c r="R13" s="19"/>
      <c r="S13" s="13">
        <v>1180784</v>
      </c>
      <c r="U13" s="79">
        <f>+Q13-'St of Net Assets - GA'!M12-'LT _Lia - GA'!S13</f>
        <v>0</v>
      </c>
    </row>
    <row r="14" spans="1:21" ht="12.75">
      <c r="A14" s="14" t="s">
        <v>16</v>
      </c>
      <c r="B14" s="14"/>
      <c r="C14" s="13">
        <f>1905000+886000</f>
        <v>2791000</v>
      </c>
      <c r="D14" s="13"/>
      <c r="E14" s="13">
        <v>0</v>
      </c>
      <c r="F14" s="13"/>
      <c r="G14" s="13">
        <v>0</v>
      </c>
      <c r="H14" s="13"/>
      <c r="I14" s="13">
        <v>839907</v>
      </c>
      <c r="J14" s="13"/>
      <c r="K14" s="13">
        <v>49138</v>
      </c>
      <c r="L14" s="13"/>
      <c r="M14" s="13">
        <v>1458113</v>
      </c>
      <c r="N14" s="13"/>
      <c r="O14" s="13">
        <f>11903+2752806</f>
        <v>2764709</v>
      </c>
      <c r="P14" s="13"/>
      <c r="Q14" s="13">
        <f t="shared" si="0"/>
        <v>7902867</v>
      </c>
      <c r="R14" s="19"/>
      <c r="S14" s="13">
        <f>1690589</f>
        <v>1690589</v>
      </c>
      <c r="U14" s="79">
        <f>+Q14-'St of Net Assets - GA'!M13-'LT _Lia - GA'!S14</f>
        <v>0</v>
      </c>
    </row>
    <row r="15" spans="1:21" ht="12.75">
      <c r="A15" s="14" t="s">
        <v>17</v>
      </c>
      <c r="B15" s="14"/>
      <c r="C15" s="13">
        <v>410000</v>
      </c>
      <c r="D15" s="13"/>
      <c r="E15" s="13">
        <v>1170000</v>
      </c>
      <c r="F15" s="13"/>
      <c r="G15" s="13">
        <v>401359</v>
      </c>
      <c r="H15" s="13"/>
      <c r="I15" s="13">
        <f>86946</f>
        <v>86946</v>
      </c>
      <c r="J15" s="13"/>
      <c r="K15" s="13">
        <v>0</v>
      </c>
      <c r="L15" s="13"/>
      <c r="M15" s="13">
        <v>1624909</v>
      </c>
      <c r="N15" s="13"/>
      <c r="O15" s="13">
        <v>0</v>
      </c>
      <c r="P15" s="13"/>
      <c r="Q15" s="13">
        <f t="shared" si="0"/>
        <v>3693214</v>
      </c>
      <c r="R15" s="19"/>
      <c r="S15" s="13">
        <v>930649</v>
      </c>
      <c r="U15" s="79">
        <f>+Q15-'St of Net Assets - GA'!M14-'LT _Lia - GA'!S15</f>
        <v>0</v>
      </c>
    </row>
    <row r="16" spans="1:21" ht="12.75">
      <c r="A16" s="14" t="s">
        <v>18</v>
      </c>
      <c r="B16" s="14"/>
      <c r="C16" s="13">
        <f>7547959</f>
        <v>7547959</v>
      </c>
      <c r="D16" s="13"/>
      <c r="E16" s="13"/>
      <c r="F16" s="13"/>
      <c r="G16" s="13">
        <f>2000000</f>
        <v>2000000</v>
      </c>
      <c r="H16" s="13"/>
      <c r="I16" s="13">
        <f>285246</f>
        <v>285246</v>
      </c>
      <c r="J16" s="13"/>
      <c r="K16" s="13">
        <f>127424</f>
        <v>127424</v>
      </c>
      <c r="L16" s="13"/>
      <c r="M16" s="13">
        <f>2944922</f>
        <v>2944922</v>
      </c>
      <c r="N16" s="13"/>
      <c r="O16" s="13">
        <v>0</v>
      </c>
      <c r="P16" s="13"/>
      <c r="Q16" s="13">
        <f t="shared" si="0"/>
        <v>12905551</v>
      </c>
      <c r="R16" s="19"/>
      <c r="S16" s="13">
        <v>1569979</v>
      </c>
      <c r="U16" s="79">
        <f>+Q16-'St of Net Assets - GA'!M15-'LT _Lia - GA'!S16</f>
        <v>0</v>
      </c>
    </row>
    <row r="17" spans="1:21" s="85" customFormat="1" ht="12.75" hidden="1">
      <c r="A17" s="14" t="s">
        <v>254</v>
      </c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f t="shared" si="0"/>
        <v>0</v>
      </c>
      <c r="R17" s="19"/>
      <c r="S17" s="13"/>
      <c r="U17" s="79">
        <f>+Q17-'St of Net Assets - GA'!M16-'LT _Lia - GA'!S17</f>
        <v>0</v>
      </c>
    </row>
    <row r="18" spans="1:21" ht="12.75">
      <c r="A18" s="14" t="s">
        <v>19</v>
      </c>
      <c r="B18" s="14"/>
      <c r="C18" s="13">
        <f>64630026+27749172</f>
        <v>92379198</v>
      </c>
      <c r="D18" s="13"/>
      <c r="E18" s="13">
        <f>10003310</f>
        <v>10003310</v>
      </c>
      <c r="F18" s="13"/>
      <c r="G18" s="13">
        <v>0</v>
      </c>
      <c r="H18" s="13"/>
      <c r="I18" s="13">
        <v>1627870</v>
      </c>
      <c r="J18" s="13"/>
      <c r="K18" s="13">
        <v>1999412</v>
      </c>
      <c r="L18" s="13"/>
      <c r="M18" s="13">
        <v>6597643</v>
      </c>
      <c r="N18" s="13"/>
      <c r="O18" s="13">
        <v>3667584</v>
      </c>
      <c r="P18" s="13"/>
      <c r="Q18" s="13">
        <f t="shared" si="0"/>
        <v>116275017</v>
      </c>
      <c r="R18" s="19"/>
      <c r="S18" s="13">
        <v>9050811</v>
      </c>
      <c r="U18" s="79">
        <f>+Q18-'St of Net Assets - GA'!M17-'LT _Lia - GA'!S18</f>
        <v>0</v>
      </c>
    </row>
    <row r="19" spans="1:21" ht="12.75">
      <c r="A19" s="14" t="s">
        <v>20</v>
      </c>
      <c r="B19" s="14"/>
      <c r="C19" s="13">
        <v>90000</v>
      </c>
      <c r="D19" s="13"/>
      <c r="E19" s="13">
        <v>21000</v>
      </c>
      <c r="F19" s="13"/>
      <c r="G19" s="13">
        <v>0</v>
      </c>
      <c r="H19" s="13"/>
      <c r="I19" s="13">
        <v>9768</v>
      </c>
      <c r="J19" s="13"/>
      <c r="K19" s="13">
        <v>114859</v>
      </c>
      <c r="L19" s="13"/>
      <c r="M19" s="13">
        <v>1055048</v>
      </c>
      <c r="N19" s="13"/>
      <c r="O19" s="13">
        <v>45000</v>
      </c>
      <c r="P19" s="13"/>
      <c r="Q19" s="13">
        <f t="shared" si="0"/>
        <v>1335675</v>
      </c>
      <c r="R19" s="19"/>
      <c r="S19" s="13">
        <v>164271</v>
      </c>
      <c r="U19" s="79">
        <f>+Q19-'St of Net Assets - GA'!M18-'LT _Lia - GA'!S19</f>
        <v>0</v>
      </c>
    </row>
    <row r="20" spans="1:21" ht="12.75" hidden="1">
      <c r="A20" s="4" t="s">
        <v>173</v>
      </c>
      <c r="B20" s="4"/>
      <c r="C20" s="13">
        <v>0</v>
      </c>
      <c r="D20" s="13"/>
      <c r="E20" s="13">
        <v>0</v>
      </c>
      <c r="F20" s="13"/>
      <c r="G20" s="13">
        <v>0</v>
      </c>
      <c r="H20" s="13"/>
      <c r="I20" s="13">
        <v>0</v>
      </c>
      <c r="J20" s="13"/>
      <c r="K20" s="13">
        <v>0</v>
      </c>
      <c r="L20" s="13"/>
      <c r="M20" s="13">
        <v>0</v>
      </c>
      <c r="N20" s="13"/>
      <c r="O20" s="13">
        <v>0</v>
      </c>
      <c r="P20" s="13"/>
      <c r="Q20" s="13">
        <f t="shared" si="0"/>
        <v>0</v>
      </c>
      <c r="R20" s="19"/>
      <c r="S20" s="13">
        <v>0</v>
      </c>
      <c r="U20" s="79">
        <f>+Q20-'St of Net Assets - GA'!M19-'LT _Lia - GA'!S20</f>
        <v>0</v>
      </c>
    </row>
    <row r="21" spans="1:21" ht="12.75">
      <c r="A21" s="14" t="s">
        <v>21</v>
      </c>
      <c r="B21" s="14"/>
      <c r="C21" s="13">
        <f>4530000+12227-13119</f>
        <v>4529108</v>
      </c>
      <c r="D21" s="13"/>
      <c r="E21" s="13">
        <v>0</v>
      </c>
      <c r="F21" s="13"/>
      <c r="G21" s="13">
        <v>0</v>
      </c>
      <c r="H21" s="13"/>
      <c r="I21" s="13">
        <v>0</v>
      </c>
      <c r="J21" s="13"/>
      <c r="K21" s="13">
        <v>0</v>
      </c>
      <c r="L21" s="13"/>
      <c r="M21" s="13">
        <f>5771517</f>
        <v>5771517</v>
      </c>
      <c r="N21" s="13"/>
      <c r="O21" s="13">
        <v>0</v>
      </c>
      <c r="P21" s="13"/>
      <c r="Q21" s="13">
        <f t="shared" si="0"/>
        <v>10300625</v>
      </c>
      <c r="R21" s="19"/>
      <c r="S21" s="13">
        <v>889492</v>
      </c>
      <c r="U21" s="79">
        <f>+Q21-'St of Net Assets - GA'!M20-'LT _Lia - GA'!S21</f>
        <v>0</v>
      </c>
    </row>
    <row r="22" spans="1:21" ht="12.75">
      <c r="A22" s="14" t="s">
        <v>184</v>
      </c>
      <c r="B22" s="14"/>
      <c r="C22" s="13">
        <v>21815000</v>
      </c>
      <c r="D22" s="13"/>
      <c r="E22" s="13">
        <v>6997000</v>
      </c>
      <c r="F22" s="13"/>
      <c r="G22" s="13">
        <v>0</v>
      </c>
      <c r="H22" s="13"/>
      <c r="I22" s="13">
        <f>1228319</f>
        <v>1228319</v>
      </c>
      <c r="J22" s="13"/>
      <c r="K22" s="13">
        <v>0</v>
      </c>
      <c r="L22" s="13"/>
      <c r="M22" s="13">
        <v>4609147</v>
      </c>
      <c r="N22" s="13"/>
      <c r="O22" s="13">
        <v>0</v>
      </c>
      <c r="P22" s="13"/>
      <c r="Q22" s="13">
        <f t="shared" si="0"/>
        <v>34649466</v>
      </c>
      <c r="R22" s="19"/>
      <c r="S22" s="13">
        <v>6822325</v>
      </c>
      <c r="U22" s="79">
        <f>+Q22-'St of Net Assets - GA'!M21-'LT _Lia - GA'!S22</f>
        <v>0</v>
      </c>
    </row>
    <row r="23" spans="1:21" ht="14.25" customHeight="1">
      <c r="A23" s="14" t="s">
        <v>22</v>
      </c>
      <c r="B23" s="14"/>
      <c r="C23" s="13">
        <v>3965000</v>
      </c>
      <c r="D23" s="13"/>
      <c r="E23" s="13">
        <v>32852</v>
      </c>
      <c r="F23" s="13"/>
      <c r="G23" s="13">
        <v>9191518</v>
      </c>
      <c r="H23" s="13"/>
      <c r="I23" s="13">
        <v>0</v>
      </c>
      <c r="J23" s="13"/>
      <c r="K23" s="13">
        <v>125993</v>
      </c>
      <c r="L23" s="13"/>
      <c r="M23" s="13">
        <v>1185856</v>
      </c>
      <c r="N23" s="13"/>
      <c r="O23" s="13">
        <v>0</v>
      </c>
      <c r="P23" s="13"/>
      <c r="Q23" s="13">
        <f t="shared" si="0"/>
        <v>14501219</v>
      </c>
      <c r="R23" s="19"/>
      <c r="S23" s="13">
        <v>1235796</v>
      </c>
      <c r="U23" s="79">
        <f>+Q23-'St of Net Assets - GA'!M22-'LT _Lia - GA'!S23</f>
        <v>0</v>
      </c>
    </row>
    <row r="24" spans="1:21" ht="12.75" hidden="1">
      <c r="A24" s="14" t="s">
        <v>23</v>
      </c>
      <c r="B24" s="14"/>
      <c r="C24" s="13">
        <v>0</v>
      </c>
      <c r="D24" s="13"/>
      <c r="E24" s="13">
        <v>0</v>
      </c>
      <c r="F24" s="13"/>
      <c r="G24" s="13">
        <v>0</v>
      </c>
      <c r="H24" s="13"/>
      <c r="I24" s="13">
        <v>0</v>
      </c>
      <c r="J24" s="13"/>
      <c r="K24" s="13">
        <v>0</v>
      </c>
      <c r="L24" s="13"/>
      <c r="M24" s="13">
        <v>0</v>
      </c>
      <c r="N24" s="13"/>
      <c r="O24" s="13">
        <v>0</v>
      </c>
      <c r="P24" s="13"/>
      <c r="Q24" s="13">
        <f t="shared" si="0"/>
        <v>0</v>
      </c>
      <c r="R24" s="19"/>
      <c r="S24" s="13">
        <v>0</v>
      </c>
      <c r="U24" s="79">
        <f>+Q24-'St of Net Assets - GA'!M23-'LT _Lia - GA'!S24</f>
        <v>0</v>
      </c>
    </row>
    <row r="25" spans="1:21" ht="12.75">
      <c r="A25" s="14" t="s">
        <v>24</v>
      </c>
      <c r="B25" s="14"/>
      <c r="C25" s="13">
        <v>4206360</v>
      </c>
      <c r="D25" s="13"/>
      <c r="E25" s="13">
        <v>0</v>
      </c>
      <c r="F25" s="13"/>
      <c r="G25" s="13">
        <v>105000</v>
      </c>
      <c r="H25" s="13"/>
      <c r="I25" s="13">
        <v>501844</v>
      </c>
      <c r="J25" s="13"/>
      <c r="K25" s="13">
        <v>182458</v>
      </c>
      <c r="L25" s="13"/>
      <c r="M25" s="13">
        <v>952621</v>
      </c>
      <c r="N25" s="13"/>
      <c r="O25" s="13">
        <v>0</v>
      </c>
      <c r="P25" s="13"/>
      <c r="Q25" s="13">
        <f t="shared" si="0"/>
        <v>5948283</v>
      </c>
      <c r="R25" s="19"/>
      <c r="S25" s="13">
        <v>963649</v>
      </c>
      <c r="U25" s="79">
        <f>+Q25-'St of Net Assets - GA'!M24-'LT _Lia - GA'!S25</f>
        <v>0</v>
      </c>
    </row>
    <row r="26" spans="1:21" ht="12.75">
      <c r="A26" s="14" t="s">
        <v>257</v>
      </c>
      <c r="B26" s="14"/>
      <c r="C26" s="13">
        <v>12618612</v>
      </c>
      <c r="D26" s="13"/>
      <c r="E26" s="13">
        <v>0</v>
      </c>
      <c r="F26" s="13"/>
      <c r="G26" s="13">
        <v>0</v>
      </c>
      <c r="H26" s="13"/>
      <c r="I26" s="13">
        <v>0</v>
      </c>
      <c r="J26" s="13"/>
      <c r="K26" s="13">
        <v>0</v>
      </c>
      <c r="L26" s="13"/>
      <c r="M26" s="13">
        <v>1002214</v>
      </c>
      <c r="N26" s="13"/>
      <c r="O26" s="13">
        <v>0</v>
      </c>
      <c r="P26" s="13"/>
      <c r="Q26" s="13">
        <f t="shared" si="0"/>
        <v>13620826</v>
      </c>
      <c r="R26" s="19"/>
      <c r="S26" s="13">
        <v>525508</v>
      </c>
      <c r="U26" s="79">
        <f>+Q26-'St of Net Assets - GA'!M25-'LT _Lia - GA'!S26</f>
        <v>0</v>
      </c>
    </row>
    <row r="27" spans="1:21" ht="12.75">
      <c r="A27" s="14" t="s">
        <v>25</v>
      </c>
      <c r="B27" s="14"/>
      <c r="C27" s="13">
        <f>208194000</f>
        <v>208194000</v>
      </c>
      <c r="D27" s="13"/>
      <c r="E27" s="13">
        <f>106016000+11101000</f>
        <v>117117000</v>
      </c>
      <c r="F27" s="13"/>
      <c r="G27" s="13">
        <v>0</v>
      </c>
      <c r="H27" s="13"/>
      <c r="I27" s="13">
        <f>7574000</f>
        <v>7574000</v>
      </c>
      <c r="J27" s="13"/>
      <c r="K27" s="13">
        <f>29144000+6027000+341000</f>
        <v>35512000</v>
      </c>
      <c r="L27" s="13"/>
      <c r="M27" s="13">
        <f>26226000+3143000+2270000+322000</f>
        <v>31961000</v>
      </c>
      <c r="N27" s="13"/>
      <c r="O27" s="13">
        <v>0</v>
      </c>
      <c r="P27" s="13"/>
      <c r="Q27" s="13">
        <f t="shared" si="0"/>
        <v>400358000</v>
      </c>
      <c r="R27" s="19"/>
      <c r="S27" s="13">
        <v>34128000</v>
      </c>
      <c r="U27" s="79">
        <f>+Q27-'St of Net Assets - GA'!M26-'LT _Lia - GA'!S27</f>
        <v>0</v>
      </c>
    </row>
    <row r="28" spans="1:21" ht="12.75">
      <c r="A28" s="14" t="s">
        <v>26</v>
      </c>
      <c r="B28" s="14"/>
      <c r="C28" s="13">
        <v>3760000</v>
      </c>
      <c r="D28" s="13"/>
      <c r="E28" s="13">
        <v>0</v>
      </c>
      <c r="F28" s="13"/>
      <c r="G28" s="13">
        <v>204486</v>
      </c>
      <c r="H28" s="13"/>
      <c r="I28" s="13">
        <v>0</v>
      </c>
      <c r="J28" s="13"/>
      <c r="K28" s="13">
        <v>26047</v>
      </c>
      <c r="L28" s="13"/>
      <c r="M28" s="13">
        <v>1413208</v>
      </c>
      <c r="N28" s="13"/>
      <c r="O28" s="13">
        <v>0</v>
      </c>
      <c r="P28" s="13"/>
      <c r="Q28" s="13">
        <f t="shared" si="0"/>
        <v>5403741</v>
      </c>
      <c r="R28" s="19"/>
      <c r="S28" s="13">
        <v>992939</v>
      </c>
      <c r="U28" s="79">
        <f>+Q28-'St of Net Assets - GA'!M27-'LT _Lia - GA'!S28</f>
        <v>0</v>
      </c>
    </row>
    <row r="29" spans="1:21" ht="12.75">
      <c r="A29" s="14" t="s">
        <v>27</v>
      </c>
      <c r="B29" s="14"/>
      <c r="C29" s="13">
        <v>2330000</v>
      </c>
      <c r="D29" s="13"/>
      <c r="E29" s="13">
        <v>1132500</v>
      </c>
      <c r="F29" s="13"/>
      <c r="G29" s="13">
        <v>0</v>
      </c>
      <c r="H29" s="13"/>
      <c r="I29" s="13">
        <f>292531+1116249</f>
        <v>1408780</v>
      </c>
      <c r="J29" s="13"/>
      <c r="K29" s="13">
        <v>0</v>
      </c>
      <c r="L29" s="13"/>
      <c r="M29" s="13">
        <v>1228326</v>
      </c>
      <c r="N29" s="13"/>
      <c r="O29" s="13">
        <v>0</v>
      </c>
      <c r="P29" s="13"/>
      <c r="Q29" s="13">
        <f aca="true" t="shared" si="1" ref="Q29:Q75">SUM(C29:O29)</f>
        <v>6099606</v>
      </c>
      <c r="R29" s="19"/>
      <c r="S29" s="13">
        <v>691199</v>
      </c>
      <c r="U29" s="79">
        <f>+Q29-'St of Net Assets - GA'!M28-'LT _Lia - GA'!S29</f>
        <v>0</v>
      </c>
    </row>
    <row r="30" spans="1:21" ht="12.75">
      <c r="A30" s="14" t="s">
        <v>28</v>
      </c>
      <c r="B30" s="14"/>
      <c r="C30" s="13">
        <v>41959560</v>
      </c>
      <c r="D30" s="13"/>
      <c r="E30" s="13">
        <v>340000</v>
      </c>
      <c r="F30" s="13"/>
      <c r="G30" s="13">
        <v>0</v>
      </c>
      <c r="H30" s="13"/>
      <c r="I30" s="13">
        <v>0</v>
      </c>
      <c r="J30" s="13"/>
      <c r="K30" s="13">
        <v>0</v>
      </c>
      <c r="L30" s="13"/>
      <c r="M30" s="13">
        <v>3084954</v>
      </c>
      <c r="N30" s="13"/>
      <c r="O30" s="13">
        <v>0</v>
      </c>
      <c r="P30" s="13"/>
      <c r="Q30" s="13">
        <f t="shared" si="1"/>
        <v>45384514</v>
      </c>
      <c r="R30" s="19"/>
      <c r="S30" s="13">
        <v>3734147</v>
      </c>
      <c r="U30" s="79">
        <f>+Q30-'St of Net Assets - GA'!M29-'LT _Lia - GA'!S30</f>
        <v>0</v>
      </c>
    </row>
    <row r="31" spans="1:21" ht="12.75">
      <c r="A31" s="14" t="s">
        <v>29</v>
      </c>
      <c r="B31" s="14"/>
      <c r="C31" s="13">
        <f>7240000+4508</f>
        <v>7244508</v>
      </c>
      <c r="D31" s="13"/>
      <c r="E31" s="13">
        <v>1077448</v>
      </c>
      <c r="F31" s="13"/>
      <c r="G31" s="13">
        <v>13675000</v>
      </c>
      <c r="H31" s="13"/>
      <c r="I31" s="13">
        <v>0</v>
      </c>
      <c r="J31" s="13"/>
      <c r="K31" s="13">
        <v>40497</v>
      </c>
      <c r="L31" s="13"/>
      <c r="M31" s="13">
        <v>2658672</v>
      </c>
      <c r="N31" s="13"/>
      <c r="O31" s="13">
        <v>0</v>
      </c>
      <c r="P31" s="13"/>
      <c r="Q31" s="13">
        <f t="shared" si="1"/>
        <v>24696125</v>
      </c>
      <c r="R31" s="19"/>
      <c r="S31" s="13">
        <v>15272691</v>
      </c>
      <c r="U31" s="79">
        <f>+Q31-'St of Net Assets - GA'!M30-'LT _Lia - GA'!S31</f>
        <v>0</v>
      </c>
    </row>
    <row r="32" spans="1:21" ht="12.75">
      <c r="A32" s="14" t="s">
        <v>30</v>
      </c>
      <c r="B32" s="14"/>
      <c r="C32" s="13">
        <v>19727476</v>
      </c>
      <c r="D32" s="13"/>
      <c r="E32" s="13">
        <v>2623646</v>
      </c>
      <c r="F32" s="13"/>
      <c r="G32" s="13">
        <v>0</v>
      </c>
      <c r="H32" s="13"/>
      <c r="I32" s="13">
        <v>1079067</v>
      </c>
      <c r="J32" s="13"/>
      <c r="K32" s="13">
        <v>1065203</v>
      </c>
      <c r="L32" s="13"/>
      <c r="M32" s="13">
        <v>3751768</v>
      </c>
      <c r="N32" s="13"/>
      <c r="O32" s="13">
        <v>13734</v>
      </c>
      <c r="P32" s="13"/>
      <c r="Q32" s="13">
        <f t="shared" si="1"/>
        <v>28260894</v>
      </c>
      <c r="R32" s="19"/>
      <c r="S32" s="13">
        <v>3050354</v>
      </c>
      <c r="U32" s="79">
        <f>+Q32-'St of Net Assets - GA'!M31-'LT _Lia - GA'!S32</f>
        <v>0</v>
      </c>
    </row>
    <row r="33" spans="1:21" ht="12.75" hidden="1">
      <c r="A33" s="14" t="s">
        <v>253</v>
      </c>
      <c r="B33" s="14"/>
      <c r="C33" s="13">
        <v>0</v>
      </c>
      <c r="D33" s="13"/>
      <c r="E33" s="13">
        <v>0</v>
      </c>
      <c r="F33" s="13"/>
      <c r="G33" s="13">
        <v>0</v>
      </c>
      <c r="H33" s="13"/>
      <c r="I33" s="13">
        <v>0</v>
      </c>
      <c r="J33" s="13"/>
      <c r="K33" s="13">
        <v>0</v>
      </c>
      <c r="L33" s="13"/>
      <c r="M33" s="13">
        <v>0</v>
      </c>
      <c r="N33" s="13"/>
      <c r="O33" s="13">
        <v>0</v>
      </c>
      <c r="P33" s="13"/>
      <c r="Q33" s="13">
        <f t="shared" si="1"/>
        <v>0</v>
      </c>
      <c r="R33" s="19"/>
      <c r="S33" s="13">
        <v>0</v>
      </c>
      <c r="U33" s="79">
        <f>+Q33-'St of Net Assets - GA'!M32-'LT _Lia - GA'!S33</f>
        <v>0</v>
      </c>
    </row>
    <row r="34" spans="1:21" ht="12.75">
      <c r="A34" s="14" t="s">
        <v>32</v>
      </c>
      <c r="B34" s="14"/>
      <c r="C34" s="13">
        <f>119830000+2975000+3170000</f>
        <v>125975000</v>
      </c>
      <c r="D34" s="13"/>
      <c r="E34" s="13">
        <v>0</v>
      </c>
      <c r="F34" s="13"/>
      <c r="G34" s="13">
        <v>2416000</v>
      </c>
      <c r="H34" s="13"/>
      <c r="I34" s="13">
        <v>0</v>
      </c>
      <c r="J34" s="13"/>
      <c r="K34" s="13">
        <v>579000</v>
      </c>
      <c r="L34" s="13"/>
      <c r="M34" s="13">
        <v>34212000</v>
      </c>
      <c r="N34" s="13"/>
      <c r="O34" s="13">
        <v>7897000</v>
      </c>
      <c r="P34" s="13"/>
      <c r="Q34" s="13">
        <f t="shared" si="1"/>
        <v>171079000</v>
      </c>
      <c r="R34" s="19"/>
      <c r="S34" s="13">
        <v>15042000</v>
      </c>
      <c r="U34" s="79">
        <f>+Q34-'St of Net Assets - GA'!M33-'LT _Lia - GA'!S34</f>
        <v>0</v>
      </c>
    </row>
    <row r="35" spans="1:21" ht="12.75">
      <c r="A35" s="14" t="s">
        <v>33</v>
      </c>
      <c r="B35" s="14"/>
      <c r="C35" s="13">
        <v>158774</v>
      </c>
      <c r="D35" s="13"/>
      <c r="E35" s="13">
        <f>304260</f>
        <v>304260</v>
      </c>
      <c r="F35" s="13"/>
      <c r="G35" s="13">
        <f>278800</f>
        <v>278800</v>
      </c>
      <c r="H35" s="13"/>
      <c r="I35" s="13">
        <f>799128+177919</f>
        <v>977047</v>
      </c>
      <c r="J35" s="13"/>
      <c r="K35" s="13">
        <v>0</v>
      </c>
      <c r="L35" s="13"/>
      <c r="M35" s="13">
        <v>873627</v>
      </c>
      <c r="N35" s="13"/>
      <c r="O35" s="13">
        <v>435300</v>
      </c>
      <c r="P35" s="13"/>
      <c r="Q35" s="13">
        <f t="shared" si="1"/>
        <v>3027808</v>
      </c>
      <c r="R35" s="19"/>
      <c r="S35" s="13">
        <v>819749</v>
      </c>
      <c r="U35" s="79">
        <f>+Q35-'St of Net Assets - GA'!M34-'LT _Lia - GA'!S35</f>
        <v>0</v>
      </c>
    </row>
    <row r="36" spans="1:21" ht="12.75">
      <c r="A36" s="14" t="s">
        <v>34</v>
      </c>
      <c r="B36" s="14"/>
      <c r="C36" s="13">
        <v>1950204</v>
      </c>
      <c r="D36" s="13"/>
      <c r="E36" s="13">
        <v>0</v>
      </c>
      <c r="F36" s="13"/>
      <c r="G36" s="13">
        <v>0</v>
      </c>
      <c r="H36" s="13"/>
      <c r="I36" s="13">
        <v>0</v>
      </c>
      <c r="J36" s="13"/>
      <c r="K36" s="13">
        <v>12582</v>
      </c>
      <c r="L36" s="13"/>
      <c r="M36" s="13">
        <v>1522932</v>
      </c>
      <c r="N36" s="13"/>
      <c r="O36" s="13">
        <v>0</v>
      </c>
      <c r="P36" s="13"/>
      <c r="Q36" s="13">
        <f t="shared" si="1"/>
        <v>3485718</v>
      </c>
      <c r="R36" s="19"/>
      <c r="S36" s="13">
        <v>1077685</v>
      </c>
      <c r="U36" s="79">
        <f>+Q36-'St of Net Assets - GA'!M35-'LT _Lia - GA'!S36</f>
        <v>0</v>
      </c>
    </row>
    <row r="37" spans="1:21" ht="12.75">
      <c r="A37" s="14" t="s">
        <v>35</v>
      </c>
      <c r="B37" s="14"/>
      <c r="C37" s="13">
        <v>235000</v>
      </c>
      <c r="D37" s="13"/>
      <c r="E37" s="13">
        <v>3138909</v>
      </c>
      <c r="F37" s="13"/>
      <c r="G37" s="13">
        <v>400000</v>
      </c>
      <c r="H37" s="13"/>
      <c r="I37" s="13">
        <v>0</v>
      </c>
      <c r="J37" s="13"/>
      <c r="K37" s="13">
        <v>43765</v>
      </c>
      <c r="L37" s="13"/>
      <c r="M37" s="13">
        <v>1867194</v>
      </c>
      <c r="N37" s="13"/>
      <c r="O37" s="13">
        <v>0</v>
      </c>
      <c r="P37" s="13"/>
      <c r="Q37" s="13">
        <f t="shared" si="1"/>
        <v>5684868</v>
      </c>
      <c r="R37" s="19"/>
      <c r="S37" s="13">
        <v>597889</v>
      </c>
      <c r="U37" s="79">
        <f>+Q37-'St of Net Assets - GA'!M36-'LT _Lia - GA'!S37</f>
        <v>0</v>
      </c>
    </row>
    <row r="38" spans="1:21" ht="12.75">
      <c r="A38" s="14" t="s">
        <v>185</v>
      </c>
      <c r="B38" s="14"/>
      <c r="C38" s="13">
        <v>15065000</v>
      </c>
      <c r="D38" s="13"/>
      <c r="E38" s="13">
        <v>295000</v>
      </c>
      <c r="F38" s="13"/>
      <c r="G38" s="13">
        <v>1050000</v>
      </c>
      <c r="H38" s="13"/>
      <c r="I38" s="13">
        <v>0</v>
      </c>
      <c r="J38" s="13"/>
      <c r="K38" s="13">
        <v>0</v>
      </c>
      <c r="L38" s="13"/>
      <c r="M38" s="13">
        <v>4889710</v>
      </c>
      <c r="N38" s="13"/>
      <c r="O38" s="13">
        <f>1228133</f>
        <v>1228133</v>
      </c>
      <c r="P38" s="13"/>
      <c r="Q38" s="13">
        <f t="shared" si="1"/>
        <v>22527843</v>
      </c>
      <c r="R38" s="19"/>
      <c r="S38" s="13">
        <v>1399566</v>
      </c>
      <c r="U38" s="79">
        <f>+Q38-'St of Net Assets - GA'!M37-'LT _Lia - GA'!S38</f>
        <v>0</v>
      </c>
    </row>
    <row r="39" spans="1:21" ht="12.75" hidden="1">
      <c r="A39" s="14" t="s">
        <v>258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si="1"/>
        <v>0</v>
      </c>
      <c r="R39" s="19"/>
      <c r="S39" s="13"/>
      <c r="U39" s="79">
        <f>+Q39-'St of Net Assets - GA'!M38-'LT _Lia - GA'!S39</f>
        <v>0</v>
      </c>
    </row>
    <row r="40" spans="1:21" ht="12.75" hidden="1">
      <c r="A40" s="14" t="s">
        <v>259</v>
      </c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si="1"/>
        <v>0</v>
      </c>
      <c r="R40" s="19"/>
      <c r="S40" s="13"/>
      <c r="U40" s="79">
        <f>+Q40-'St of Net Assets - GA'!M39-'LT _Lia - GA'!S40</f>
        <v>0</v>
      </c>
    </row>
    <row r="41" spans="1:21" ht="12.75">
      <c r="A41" s="14" t="s">
        <v>38</v>
      </c>
      <c r="B41" s="14"/>
      <c r="C41" s="13">
        <v>8190207</v>
      </c>
      <c r="D41" s="13"/>
      <c r="E41" s="13">
        <v>1905776</v>
      </c>
      <c r="F41" s="13"/>
      <c r="G41" s="13">
        <v>0</v>
      </c>
      <c r="H41" s="13"/>
      <c r="I41" s="13">
        <v>412124</v>
      </c>
      <c r="J41" s="13"/>
      <c r="K41" s="13">
        <v>0</v>
      </c>
      <c r="L41" s="13"/>
      <c r="M41" s="13">
        <v>2959610</v>
      </c>
      <c r="N41" s="13"/>
      <c r="O41" s="13">
        <v>0</v>
      </c>
      <c r="P41" s="13"/>
      <c r="Q41" s="13">
        <f t="shared" si="1"/>
        <v>13467717</v>
      </c>
      <c r="R41" s="19"/>
      <c r="S41" s="13">
        <v>1276126</v>
      </c>
      <c r="U41" s="79">
        <f>+Q41-'St of Net Assets - GA'!M40-'LT _Lia - GA'!S41</f>
        <v>0</v>
      </c>
    </row>
    <row r="42" spans="1:21" ht="12.75" hidden="1">
      <c r="A42" s="14" t="s">
        <v>168</v>
      </c>
      <c r="B42" s="14"/>
      <c r="C42" s="13">
        <v>0</v>
      </c>
      <c r="D42" s="13"/>
      <c r="E42" s="13">
        <v>0</v>
      </c>
      <c r="F42" s="13"/>
      <c r="G42" s="13">
        <v>0</v>
      </c>
      <c r="H42" s="13"/>
      <c r="I42" s="13">
        <v>0</v>
      </c>
      <c r="J42" s="13"/>
      <c r="K42" s="13">
        <v>0</v>
      </c>
      <c r="L42" s="13"/>
      <c r="M42" s="13">
        <v>0</v>
      </c>
      <c r="N42" s="13"/>
      <c r="O42" s="13">
        <v>0</v>
      </c>
      <c r="P42" s="13"/>
      <c r="Q42" s="13">
        <f t="shared" si="1"/>
        <v>0</v>
      </c>
      <c r="R42" s="19"/>
      <c r="S42" s="13">
        <v>0</v>
      </c>
      <c r="U42" s="79">
        <f>+Q42-'St of Net Assets - GA'!M41-'LT _Lia - GA'!S42</f>
        <v>0</v>
      </c>
    </row>
    <row r="43" spans="1:21" ht="12.75" hidden="1">
      <c r="A43" s="14" t="s">
        <v>39</v>
      </c>
      <c r="B43" s="14"/>
      <c r="C43" s="13">
        <v>0</v>
      </c>
      <c r="D43" s="13"/>
      <c r="E43" s="13">
        <v>0</v>
      </c>
      <c r="F43" s="13"/>
      <c r="G43" s="13">
        <v>0</v>
      </c>
      <c r="H43" s="13"/>
      <c r="I43" s="13">
        <v>0</v>
      </c>
      <c r="J43" s="13"/>
      <c r="K43" s="13">
        <v>0</v>
      </c>
      <c r="L43" s="13"/>
      <c r="M43" s="13">
        <v>0</v>
      </c>
      <c r="N43" s="13"/>
      <c r="O43" s="13">
        <v>0</v>
      </c>
      <c r="P43" s="13"/>
      <c r="Q43" s="13">
        <f t="shared" si="1"/>
        <v>0</v>
      </c>
      <c r="R43" s="19"/>
      <c r="S43" s="13">
        <v>0</v>
      </c>
      <c r="U43" s="79">
        <f>+Q43-'St of Net Assets - GA'!M42-'LT _Lia - GA'!S43</f>
        <v>0</v>
      </c>
    </row>
    <row r="44" spans="1:21" ht="12.75">
      <c r="A44" s="14" t="s">
        <v>40</v>
      </c>
      <c r="B44" s="14"/>
      <c r="C44" s="13">
        <v>25000</v>
      </c>
      <c r="D44" s="13"/>
      <c r="E44" s="13">
        <v>208255</v>
      </c>
      <c r="F44" s="13"/>
      <c r="G44" s="13">
        <v>3305000</v>
      </c>
      <c r="H44" s="13"/>
      <c r="I44" s="13">
        <f>606033+77223</f>
        <v>683256</v>
      </c>
      <c r="J44" s="13"/>
      <c r="K44" s="13">
        <v>12114</v>
      </c>
      <c r="L44" s="13"/>
      <c r="M44" s="13">
        <v>1573398</v>
      </c>
      <c r="N44" s="13"/>
      <c r="O44" s="13">
        <v>0</v>
      </c>
      <c r="P44" s="13"/>
      <c r="Q44" s="13">
        <f t="shared" si="1"/>
        <v>5807023</v>
      </c>
      <c r="R44" s="19"/>
      <c r="S44" s="13">
        <v>4052833</v>
      </c>
      <c r="U44" s="79">
        <f>+Q44-'St of Net Assets - GA'!M43-'LT _Lia - GA'!S44</f>
        <v>0</v>
      </c>
    </row>
    <row r="45" spans="1:21" ht="12.75" hidden="1">
      <c r="A45" s="14" t="s">
        <v>41</v>
      </c>
      <c r="B45" s="14"/>
      <c r="C45" s="13">
        <v>0</v>
      </c>
      <c r="D45" s="13"/>
      <c r="E45" s="13">
        <v>0</v>
      </c>
      <c r="F45" s="13"/>
      <c r="G45" s="13">
        <v>0</v>
      </c>
      <c r="H45" s="13"/>
      <c r="I45" s="13">
        <v>0</v>
      </c>
      <c r="J45" s="13"/>
      <c r="K45" s="13">
        <v>0</v>
      </c>
      <c r="L45" s="13"/>
      <c r="M45" s="13">
        <v>0</v>
      </c>
      <c r="N45" s="13"/>
      <c r="O45" s="13">
        <v>0</v>
      </c>
      <c r="P45" s="13"/>
      <c r="Q45" s="13">
        <f t="shared" si="1"/>
        <v>0</v>
      </c>
      <c r="R45" s="19"/>
      <c r="S45" s="13">
        <v>0</v>
      </c>
      <c r="U45" s="79">
        <f>+Q45-'St of Net Assets - GA'!M44-'LT _Lia - GA'!S45</f>
        <v>0</v>
      </c>
    </row>
    <row r="46" spans="1:21" ht="12.75">
      <c r="A46" s="14" t="s">
        <v>42</v>
      </c>
      <c r="B46" s="14"/>
      <c r="C46" s="13">
        <v>395000</v>
      </c>
      <c r="D46" s="13"/>
      <c r="E46" s="13">
        <v>54100</v>
      </c>
      <c r="F46" s="13"/>
      <c r="G46" s="13">
        <v>634451</v>
      </c>
      <c r="H46" s="13"/>
      <c r="I46" s="13">
        <v>0</v>
      </c>
      <c r="J46" s="13"/>
      <c r="K46" s="13">
        <v>85764</v>
      </c>
      <c r="L46" s="13"/>
      <c r="M46" s="13">
        <v>759722</v>
      </c>
      <c r="N46" s="13"/>
      <c r="O46" s="13">
        <v>0</v>
      </c>
      <c r="P46" s="13"/>
      <c r="Q46" s="13">
        <f t="shared" si="1"/>
        <v>1929037</v>
      </c>
      <c r="R46" s="19"/>
      <c r="S46" s="13">
        <v>332612</v>
      </c>
      <c r="U46" s="79">
        <f>+Q46-'St of Net Assets - GA'!M45-'LT _Lia - GA'!S46</f>
        <v>0</v>
      </c>
    </row>
    <row r="47" spans="1:21" ht="12.75">
      <c r="A47" s="14" t="s">
        <v>43</v>
      </c>
      <c r="B47" s="14"/>
      <c r="C47" s="13">
        <v>4422000</v>
      </c>
      <c r="D47" s="13"/>
      <c r="E47" s="13">
        <v>0</v>
      </c>
      <c r="F47" s="13"/>
      <c r="G47" s="13">
        <v>0</v>
      </c>
      <c r="H47" s="13"/>
      <c r="I47" s="13">
        <v>0</v>
      </c>
      <c r="J47" s="13"/>
      <c r="K47" s="13">
        <v>0</v>
      </c>
      <c r="L47" s="13"/>
      <c r="M47" s="13">
        <v>1041498</v>
      </c>
      <c r="N47" s="13"/>
      <c r="O47" s="13">
        <v>0</v>
      </c>
      <c r="P47" s="13"/>
      <c r="Q47" s="13">
        <f t="shared" si="1"/>
        <v>5463498</v>
      </c>
      <c r="R47" s="19"/>
      <c r="S47" s="13">
        <v>1061001</v>
      </c>
      <c r="U47" s="79">
        <f>+Q47-'St of Net Assets - GA'!M46-'LT _Lia - GA'!S47</f>
        <v>0</v>
      </c>
    </row>
    <row r="48" spans="1:21" ht="12.75">
      <c r="A48" s="14" t="s">
        <v>44</v>
      </c>
      <c r="B48" s="14"/>
      <c r="C48" s="13">
        <v>7535695</v>
      </c>
      <c r="D48" s="13"/>
      <c r="E48" s="13">
        <v>0</v>
      </c>
      <c r="F48" s="13"/>
      <c r="G48" s="13">
        <v>0</v>
      </c>
      <c r="H48" s="13"/>
      <c r="I48" s="13">
        <v>0</v>
      </c>
      <c r="J48" s="13"/>
      <c r="K48" s="13">
        <v>0</v>
      </c>
      <c r="L48" s="13"/>
      <c r="M48" s="13">
        <v>1711346</v>
      </c>
      <c r="N48" s="13"/>
      <c r="O48" s="13">
        <v>0</v>
      </c>
      <c r="P48" s="13"/>
      <c r="Q48" s="13">
        <f t="shared" si="1"/>
        <v>9247041</v>
      </c>
      <c r="R48" s="19"/>
      <c r="S48" s="13">
        <v>512000</v>
      </c>
      <c r="U48" s="79">
        <f>+Q48-'St of Net Assets - GA'!M47-'LT _Lia - GA'!S48</f>
        <v>0</v>
      </c>
    </row>
    <row r="49" spans="1:21" ht="12.75" hidden="1">
      <c r="A49" s="14" t="s">
        <v>255</v>
      </c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>
        <f t="shared" si="1"/>
        <v>0</v>
      </c>
      <c r="R49" s="19"/>
      <c r="S49" s="13"/>
      <c r="U49" s="79">
        <f>+Q49-'St of Net Assets - GA'!M48-'LT _Lia - GA'!S49</f>
        <v>0</v>
      </c>
    </row>
    <row r="50" spans="1:21" ht="12.75">
      <c r="A50" s="14" t="s">
        <v>46</v>
      </c>
      <c r="B50" s="14"/>
      <c r="C50" s="13">
        <v>25155086</v>
      </c>
      <c r="D50" s="13"/>
      <c r="E50" s="13">
        <v>0</v>
      </c>
      <c r="F50" s="13"/>
      <c r="G50" s="13">
        <v>1688920</v>
      </c>
      <c r="H50" s="13"/>
      <c r="I50" s="13">
        <f>108915+42268+104790</f>
        <v>255973</v>
      </c>
      <c r="J50" s="13"/>
      <c r="K50" s="13">
        <v>530874</v>
      </c>
      <c r="L50" s="13"/>
      <c r="M50" s="13">
        <v>2307990</v>
      </c>
      <c r="N50" s="13"/>
      <c r="O50" s="13">
        <f>1712111+33659</f>
        <v>1745770</v>
      </c>
      <c r="P50" s="13"/>
      <c r="Q50" s="13">
        <f t="shared" si="1"/>
        <v>31684613</v>
      </c>
      <c r="R50" s="19"/>
      <c r="S50" s="13">
        <v>3041966</v>
      </c>
      <c r="U50" s="79">
        <f>+Q50-'St of Net Assets - GA'!M49-'LT _Lia - GA'!S50</f>
        <v>0</v>
      </c>
    </row>
    <row r="51" spans="1:21" ht="12.75">
      <c r="A51" s="14" t="s">
        <v>47</v>
      </c>
      <c r="B51" s="14"/>
      <c r="C51" s="13">
        <v>10380000</v>
      </c>
      <c r="D51" s="13"/>
      <c r="E51" s="13">
        <v>0</v>
      </c>
      <c r="F51" s="13"/>
      <c r="G51" s="13">
        <v>0</v>
      </c>
      <c r="H51" s="13"/>
      <c r="I51" s="13">
        <v>26163</v>
      </c>
      <c r="J51" s="13"/>
      <c r="K51" s="13">
        <v>92065</v>
      </c>
      <c r="L51" s="13"/>
      <c r="M51" s="13">
        <v>939391</v>
      </c>
      <c r="N51" s="13"/>
      <c r="O51" s="13">
        <v>0</v>
      </c>
      <c r="P51" s="13"/>
      <c r="Q51" s="13">
        <f t="shared" si="1"/>
        <v>11437619</v>
      </c>
      <c r="R51" s="19"/>
      <c r="S51" s="13">
        <v>1249315</v>
      </c>
      <c r="U51" s="79">
        <f>+Q51-'St of Net Assets - GA'!M50-'LT _Lia - GA'!S51</f>
        <v>0</v>
      </c>
    </row>
    <row r="52" spans="1:21" ht="12.75">
      <c r="A52" s="14" t="s">
        <v>48</v>
      </c>
      <c r="B52" s="14"/>
      <c r="C52" s="13">
        <v>24708000</v>
      </c>
      <c r="D52" s="13"/>
      <c r="E52" s="13">
        <v>8069600</v>
      </c>
      <c r="F52" s="13"/>
      <c r="G52" s="13">
        <v>0</v>
      </c>
      <c r="H52" s="13"/>
      <c r="I52" s="13">
        <v>0</v>
      </c>
      <c r="J52" s="13"/>
      <c r="K52" s="13">
        <v>88243</v>
      </c>
      <c r="L52" s="13"/>
      <c r="M52" s="13">
        <v>10567152</v>
      </c>
      <c r="N52" s="13"/>
      <c r="O52" s="13">
        <v>0</v>
      </c>
      <c r="P52" s="13"/>
      <c r="Q52" s="13">
        <f t="shared" si="1"/>
        <v>43432995</v>
      </c>
      <c r="R52" s="19"/>
      <c r="S52" s="13">
        <f>3507172-20740</f>
        <v>3486432</v>
      </c>
      <c r="U52" s="79">
        <f>+Q52-'St of Net Assets - GA'!M51-'LT _Lia - GA'!S52</f>
        <v>0</v>
      </c>
    </row>
    <row r="53" spans="1:21" ht="12.75" hidden="1">
      <c r="A53" s="14" t="s">
        <v>170</v>
      </c>
      <c r="B53" s="14"/>
      <c r="C53" s="13">
        <v>0</v>
      </c>
      <c r="D53" s="13"/>
      <c r="E53" s="13">
        <v>0</v>
      </c>
      <c r="F53" s="13"/>
      <c r="G53" s="13">
        <v>0</v>
      </c>
      <c r="H53" s="13"/>
      <c r="I53" s="13">
        <v>0</v>
      </c>
      <c r="J53" s="13"/>
      <c r="K53" s="13">
        <v>0</v>
      </c>
      <c r="L53" s="13"/>
      <c r="M53" s="13">
        <v>0</v>
      </c>
      <c r="N53" s="13"/>
      <c r="O53" s="13">
        <v>0</v>
      </c>
      <c r="P53" s="13"/>
      <c r="Q53" s="13">
        <f t="shared" si="1"/>
        <v>0</v>
      </c>
      <c r="R53" s="19"/>
      <c r="S53" s="13">
        <v>0</v>
      </c>
      <c r="U53" s="79">
        <f>+Q53-'St of Net Assets - GA'!M52-'LT _Lia - GA'!S53</f>
        <v>0</v>
      </c>
    </row>
    <row r="54" spans="1:21" ht="12.75">
      <c r="A54" s="14" t="s">
        <v>49</v>
      </c>
      <c r="B54" s="14"/>
      <c r="C54" s="13">
        <v>11207778</v>
      </c>
      <c r="D54" s="13"/>
      <c r="E54" s="13">
        <v>484140</v>
      </c>
      <c r="F54" s="13"/>
      <c r="G54" s="13">
        <v>0</v>
      </c>
      <c r="H54" s="13"/>
      <c r="I54" s="13">
        <v>0</v>
      </c>
      <c r="J54" s="13"/>
      <c r="K54" s="13">
        <v>0</v>
      </c>
      <c r="L54" s="13"/>
      <c r="M54" s="13">
        <v>3433149</v>
      </c>
      <c r="N54" s="13"/>
      <c r="O54" s="13">
        <v>0</v>
      </c>
      <c r="P54" s="13"/>
      <c r="Q54" s="13">
        <f t="shared" si="1"/>
        <v>15125067</v>
      </c>
      <c r="R54" s="19"/>
      <c r="S54" s="13">
        <v>3104059</v>
      </c>
      <c r="U54" s="79">
        <f>+Q54-'St of Net Assets - GA'!M53-'LT _Lia - GA'!S54</f>
        <v>0</v>
      </c>
    </row>
    <row r="55" spans="1:21" ht="12.75">
      <c r="A55" s="14" t="s">
        <v>50</v>
      </c>
      <c r="B55" s="14"/>
      <c r="C55" s="13">
        <f>7150000+3000000+6500000</f>
        <v>16650000</v>
      </c>
      <c r="D55" s="13"/>
      <c r="E55" s="13">
        <v>0</v>
      </c>
      <c r="F55" s="13"/>
      <c r="G55" s="13">
        <v>0</v>
      </c>
      <c r="H55" s="13"/>
      <c r="I55" s="13">
        <v>0</v>
      </c>
      <c r="J55" s="13"/>
      <c r="K55" s="13">
        <v>0</v>
      </c>
      <c r="L55" s="13"/>
      <c r="M55" s="13">
        <v>1374088</v>
      </c>
      <c r="N55" s="13"/>
      <c r="O55" s="13">
        <v>0</v>
      </c>
      <c r="P55" s="13"/>
      <c r="Q55" s="13">
        <f t="shared" si="1"/>
        <v>18024088</v>
      </c>
      <c r="R55" s="19"/>
      <c r="S55" s="13">
        <v>1511770</v>
      </c>
      <c r="U55" s="79">
        <f>+Q55-'St of Net Assets - GA'!M54-'LT _Lia - GA'!S55</f>
        <v>0</v>
      </c>
    </row>
    <row r="56" spans="1:21" ht="12.75">
      <c r="A56" s="14" t="s">
        <v>260</v>
      </c>
      <c r="B56" s="14"/>
      <c r="C56" s="13">
        <v>29840000</v>
      </c>
      <c r="D56" s="13"/>
      <c r="E56" s="13">
        <v>4308195</v>
      </c>
      <c r="F56" s="13"/>
      <c r="G56" s="13">
        <v>0</v>
      </c>
      <c r="H56" s="13"/>
      <c r="I56" s="13">
        <v>0</v>
      </c>
      <c r="J56" s="13"/>
      <c r="K56" s="13">
        <v>0</v>
      </c>
      <c r="L56" s="13"/>
      <c r="M56" s="13">
        <v>13184908</v>
      </c>
      <c r="N56" s="13"/>
      <c r="O56" s="13">
        <v>0</v>
      </c>
      <c r="P56" s="13"/>
      <c r="Q56" s="13">
        <f t="shared" si="1"/>
        <v>47333103</v>
      </c>
      <c r="R56" s="19"/>
      <c r="S56" s="13">
        <f>4258240+1930736</f>
        <v>6188976</v>
      </c>
      <c r="U56" s="79">
        <f>+Q56-'St of Net Assets - GA'!M55-'LT _Lia - GA'!S56</f>
        <v>0</v>
      </c>
    </row>
    <row r="57" spans="1:21" ht="12.75">
      <c r="A57" s="14" t="s">
        <v>186</v>
      </c>
      <c r="B57" s="14"/>
      <c r="C57" s="13">
        <v>31255000</v>
      </c>
      <c r="D57" s="13"/>
      <c r="E57" s="13">
        <v>17956000</v>
      </c>
      <c r="F57" s="13"/>
      <c r="G57" s="13">
        <v>0</v>
      </c>
      <c r="H57" s="13"/>
      <c r="I57" s="13">
        <f>915000+2112000</f>
        <v>3027000</v>
      </c>
      <c r="J57" s="13"/>
      <c r="K57" s="13">
        <v>1201000</v>
      </c>
      <c r="L57" s="13"/>
      <c r="M57" s="13">
        <v>19093000</v>
      </c>
      <c r="N57" s="13"/>
      <c r="O57" s="13">
        <f>12264000+11185000+726000+17230000</f>
        <v>41405000</v>
      </c>
      <c r="P57" s="13"/>
      <c r="Q57" s="13">
        <f t="shared" si="1"/>
        <v>113937000</v>
      </c>
      <c r="R57" s="19"/>
      <c r="S57" s="13">
        <v>32504000</v>
      </c>
      <c r="U57" s="79">
        <f>+Q57-'St of Net Assets - GA'!M56-'LT _Lia - GA'!S57</f>
        <v>0</v>
      </c>
    </row>
    <row r="58" spans="1:21" ht="12.75" hidden="1">
      <c r="A58" s="14" t="s">
        <v>52</v>
      </c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>
        <f t="shared" si="1"/>
        <v>0</v>
      </c>
      <c r="R58" s="19"/>
      <c r="S58" s="13"/>
      <c r="U58" s="79">
        <f>+Q58-'St of Net Assets - GA'!M57-'LT _Lia - GA'!S58</f>
        <v>0</v>
      </c>
    </row>
    <row r="59" spans="1:21" ht="12.75">
      <c r="A59" s="14" t="s">
        <v>53</v>
      </c>
      <c r="B59" s="14"/>
      <c r="C59" s="13">
        <v>40100148</v>
      </c>
      <c r="D59" s="13"/>
      <c r="E59" s="13">
        <v>0</v>
      </c>
      <c r="F59" s="13"/>
      <c r="G59" s="13">
        <v>466892</v>
      </c>
      <c r="H59" s="13"/>
      <c r="I59" s="13">
        <v>0</v>
      </c>
      <c r="J59" s="13"/>
      <c r="K59" s="13">
        <v>0</v>
      </c>
      <c r="L59" s="13"/>
      <c r="M59" s="13">
        <v>7826655</v>
      </c>
      <c r="N59" s="13"/>
      <c r="O59" s="13">
        <v>0</v>
      </c>
      <c r="P59" s="13"/>
      <c r="Q59" s="13">
        <f t="shared" si="1"/>
        <v>48393695</v>
      </c>
      <c r="R59" s="19"/>
      <c r="S59" s="13">
        <v>7888606</v>
      </c>
      <c r="U59" s="79">
        <f>+Q59-'St of Net Assets - GA'!M58-'LT _Lia - GA'!S59</f>
        <v>0</v>
      </c>
    </row>
    <row r="60" spans="1:21" ht="12.75">
      <c r="A60" s="14" t="s">
        <v>54</v>
      </c>
      <c r="B60" s="14"/>
      <c r="C60" s="13">
        <v>9284711</v>
      </c>
      <c r="D60" s="13"/>
      <c r="E60" s="13">
        <v>110289</v>
      </c>
      <c r="F60" s="13"/>
      <c r="G60" s="13">
        <v>0</v>
      </c>
      <c r="H60" s="13"/>
      <c r="I60" s="13">
        <f>65908</f>
        <v>65908</v>
      </c>
      <c r="J60" s="13"/>
      <c r="K60" s="13">
        <v>0</v>
      </c>
      <c r="L60" s="13"/>
      <c r="M60" s="13">
        <v>1406574</v>
      </c>
      <c r="N60" s="13"/>
      <c r="O60" s="13">
        <v>0</v>
      </c>
      <c r="P60" s="13"/>
      <c r="Q60" s="13">
        <f t="shared" si="1"/>
        <v>10867482</v>
      </c>
      <c r="R60" s="19"/>
      <c r="S60" s="13">
        <v>1126808</v>
      </c>
      <c r="U60" s="79">
        <f>+Q60-'St of Net Assets - GA'!M59-'LT _Lia - GA'!S60</f>
        <v>0</v>
      </c>
    </row>
    <row r="61" spans="1:21" ht="12.75">
      <c r="A61" s="14" t="s">
        <v>55</v>
      </c>
      <c r="B61" s="14"/>
      <c r="C61" s="13">
        <v>6646867</v>
      </c>
      <c r="D61" s="13"/>
      <c r="E61" s="13">
        <v>1781228</v>
      </c>
      <c r="F61" s="13"/>
      <c r="G61" s="13">
        <v>0</v>
      </c>
      <c r="H61" s="13"/>
      <c r="I61" s="13">
        <f>153677+1720221</f>
        <v>1873898</v>
      </c>
      <c r="J61" s="13"/>
      <c r="K61" s="13">
        <v>0</v>
      </c>
      <c r="L61" s="13"/>
      <c r="M61" s="13">
        <v>4562084</v>
      </c>
      <c r="N61" s="13"/>
      <c r="O61" s="13">
        <v>0</v>
      </c>
      <c r="P61" s="13"/>
      <c r="Q61" s="13">
        <f t="shared" si="1"/>
        <v>14864077</v>
      </c>
      <c r="R61" s="19"/>
      <c r="S61" s="13">
        <v>477825</v>
      </c>
      <c r="U61" s="79">
        <f>+Q61-'St of Net Assets - GA'!M60-'LT _Lia - GA'!S61</f>
        <v>0</v>
      </c>
    </row>
    <row r="62" spans="1:21" ht="12.75" hidden="1">
      <c r="A62" s="14" t="s">
        <v>171</v>
      </c>
      <c r="B62" s="14"/>
      <c r="C62" s="13">
        <v>0</v>
      </c>
      <c r="D62" s="13"/>
      <c r="E62" s="13">
        <v>0</v>
      </c>
      <c r="F62" s="13"/>
      <c r="G62" s="13">
        <v>0</v>
      </c>
      <c r="H62" s="13"/>
      <c r="I62" s="13">
        <v>0</v>
      </c>
      <c r="J62" s="13"/>
      <c r="K62" s="13">
        <v>0</v>
      </c>
      <c r="L62" s="13"/>
      <c r="M62" s="13">
        <v>0</v>
      </c>
      <c r="N62" s="13"/>
      <c r="O62" s="13">
        <v>0</v>
      </c>
      <c r="P62" s="13"/>
      <c r="Q62" s="13">
        <f t="shared" si="1"/>
        <v>0</v>
      </c>
      <c r="R62" s="19"/>
      <c r="S62" s="13">
        <v>0</v>
      </c>
      <c r="U62" s="79">
        <f>+Q62-'St of Net Assets - GA'!M61-'LT _Lia - GA'!S62</f>
        <v>0</v>
      </c>
    </row>
    <row r="63" spans="1:21" ht="12.75" hidden="1">
      <c r="A63" s="14" t="s">
        <v>56</v>
      </c>
      <c r="B63" s="14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>
        <f t="shared" si="1"/>
        <v>0</v>
      </c>
      <c r="R63" s="19"/>
      <c r="S63" s="13"/>
      <c r="U63" s="79">
        <f>+Q63-'St of Net Assets - GA'!M62-'LT _Lia - GA'!S63</f>
        <v>0</v>
      </c>
    </row>
    <row r="64" spans="1:21" ht="12.75">
      <c r="A64" s="14" t="s">
        <v>57</v>
      </c>
      <c r="B64" s="14"/>
      <c r="C64" s="13">
        <v>5985000</v>
      </c>
      <c r="D64" s="13"/>
      <c r="E64" s="13">
        <v>0</v>
      </c>
      <c r="F64" s="13"/>
      <c r="G64" s="13">
        <v>0</v>
      </c>
      <c r="H64" s="13"/>
      <c r="I64" s="13"/>
      <c r="J64" s="13"/>
      <c r="K64" s="13">
        <v>110541</v>
      </c>
      <c r="L64" s="13"/>
      <c r="M64" s="13">
        <v>2760732</v>
      </c>
      <c r="N64" s="13"/>
      <c r="O64" s="13">
        <f>2080553</f>
        <v>2080553</v>
      </c>
      <c r="P64" s="13"/>
      <c r="Q64" s="13">
        <f t="shared" si="1"/>
        <v>10936826</v>
      </c>
      <c r="R64" s="19"/>
      <c r="S64" s="13">
        <v>2231485</v>
      </c>
      <c r="U64" s="79">
        <f>+Q64-'St of Net Assets - GA'!M63-'LT _Lia - GA'!S64</f>
        <v>0</v>
      </c>
    </row>
    <row r="65" spans="1:21" ht="12.75">
      <c r="A65" s="14" t="s">
        <v>58</v>
      </c>
      <c r="B65" s="14"/>
      <c r="C65" s="13">
        <v>255227</v>
      </c>
      <c r="D65" s="13"/>
      <c r="E65" s="13">
        <v>0</v>
      </c>
      <c r="F65" s="13"/>
      <c r="G65" s="13">
        <v>0</v>
      </c>
      <c r="H65" s="13"/>
      <c r="I65" s="13">
        <v>10263</v>
      </c>
      <c r="J65" s="13"/>
      <c r="K65" s="13">
        <v>0</v>
      </c>
      <c r="L65" s="13"/>
      <c r="M65" s="13">
        <v>432131</v>
      </c>
      <c r="N65" s="13"/>
      <c r="O65" s="13">
        <v>154784</v>
      </c>
      <c r="P65" s="13"/>
      <c r="Q65" s="13">
        <f t="shared" si="1"/>
        <v>852405</v>
      </c>
      <c r="R65" s="19"/>
      <c r="S65" s="13">
        <v>285248</v>
      </c>
      <c r="U65" s="79">
        <f>+Q65-'St of Net Assets - GA'!M64-'LT _Lia - GA'!S65</f>
        <v>0</v>
      </c>
    </row>
    <row r="66" spans="1:21" ht="12.75">
      <c r="A66" s="14" t="s">
        <v>59</v>
      </c>
      <c r="B66" s="14"/>
      <c r="C66" s="13">
        <v>47221740</v>
      </c>
      <c r="D66" s="13"/>
      <c r="E66" s="13">
        <v>2392572</v>
      </c>
      <c r="F66" s="13"/>
      <c r="G66" s="13">
        <v>0</v>
      </c>
      <c r="H66" s="13"/>
      <c r="I66" s="13">
        <v>0</v>
      </c>
      <c r="J66" s="13"/>
      <c r="K66" s="13">
        <v>905247</v>
      </c>
      <c r="L66" s="13"/>
      <c r="M66" s="13">
        <v>18160582</v>
      </c>
      <c r="N66" s="13"/>
      <c r="O66" s="13">
        <f>636777+70062-71948+7185643+1240288</f>
        <v>9060822</v>
      </c>
      <c r="P66" s="13"/>
      <c r="Q66" s="13">
        <f>SUM(C66:O66)</f>
        <v>77740963</v>
      </c>
      <c r="R66" s="19"/>
      <c r="S66" s="13">
        <v>8493268</v>
      </c>
      <c r="U66" s="79">
        <f>+Q66-'St of Net Assets - GA'!M65-'LT _Lia - GA'!S66</f>
        <v>0</v>
      </c>
    </row>
    <row r="67" spans="1:21" ht="12.75" hidden="1">
      <c r="A67" s="14" t="s">
        <v>60</v>
      </c>
      <c r="B67" s="1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>
        <f t="shared" si="1"/>
        <v>0</v>
      </c>
      <c r="R67" s="19"/>
      <c r="S67" s="13"/>
      <c r="U67" s="79">
        <f>+Q67-'St of Net Assets - GA'!M66-'LT _Lia - GA'!S67</f>
        <v>0</v>
      </c>
    </row>
    <row r="68" spans="1:21" ht="12.75">
      <c r="A68" s="14" t="s">
        <v>97</v>
      </c>
      <c r="B68" s="14"/>
      <c r="C68" s="13">
        <v>2155000</v>
      </c>
      <c r="D68" s="13"/>
      <c r="E68" s="13">
        <v>0</v>
      </c>
      <c r="F68" s="13"/>
      <c r="G68" s="13">
        <v>3167000</v>
      </c>
      <c r="H68" s="13"/>
      <c r="I68" s="13">
        <f>114056+6740</f>
        <v>120796</v>
      </c>
      <c r="J68" s="13"/>
      <c r="K68" s="13">
        <v>265426</v>
      </c>
      <c r="L68" s="13"/>
      <c r="M68" s="13">
        <v>751452</v>
      </c>
      <c r="N68" s="13"/>
      <c r="O68" s="13">
        <v>0</v>
      </c>
      <c r="P68" s="13"/>
      <c r="Q68" s="13">
        <f t="shared" si="1"/>
        <v>6459674</v>
      </c>
      <c r="R68" s="19"/>
      <c r="S68" s="13">
        <v>3555063</v>
      </c>
      <c r="U68" s="79">
        <f>+Q68-'St of Net Assets - GA'!M67-'LT _Lia - GA'!S68</f>
        <v>0</v>
      </c>
    </row>
    <row r="69" spans="1:21" ht="12.75">
      <c r="A69" s="14" t="s">
        <v>61</v>
      </c>
      <c r="B69" s="14"/>
      <c r="C69" s="13">
        <v>13900903</v>
      </c>
      <c r="D69" s="13"/>
      <c r="E69" s="13">
        <v>894696</v>
      </c>
      <c r="F69" s="13"/>
      <c r="G69" s="13">
        <v>0</v>
      </c>
      <c r="H69" s="13"/>
      <c r="I69" s="13">
        <v>0</v>
      </c>
      <c r="J69" s="13"/>
      <c r="K69" s="13">
        <v>491220</v>
      </c>
      <c r="L69" s="13"/>
      <c r="M69" s="13">
        <v>2959691</v>
      </c>
      <c r="N69" s="13"/>
      <c r="O69" s="13">
        <f>12826924+626532</f>
        <v>13453456</v>
      </c>
      <c r="P69" s="13"/>
      <c r="Q69" s="13">
        <f t="shared" si="1"/>
        <v>31699966</v>
      </c>
      <c r="R69" s="19"/>
      <c r="S69" s="13">
        <v>3549905</v>
      </c>
      <c r="U69" s="79">
        <f>+Q69-'St of Net Assets - GA'!M68-'LT _Lia - GA'!S69</f>
        <v>0</v>
      </c>
    </row>
    <row r="70" spans="1:21" ht="12.75">
      <c r="A70" s="14" t="s">
        <v>62</v>
      </c>
      <c r="B70" s="14"/>
      <c r="C70" s="13">
        <v>900000</v>
      </c>
      <c r="D70" s="13"/>
      <c r="E70" s="13">
        <v>0</v>
      </c>
      <c r="F70" s="13"/>
      <c r="G70" s="13">
        <v>8208</v>
      </c>
      <c r="H70" s="13"/>
      <c r="I70" s="13">
        <v>0</v>
      </c>
      <c r="J70" s="13"/>
      <c r="K70" s="13">
        <v>5666</v>
      </c>
      <c r="L70" s="13"/>
      <c r="M70" s="13">
        <v>369700</v>
      </c>
      <c r="N70" s="13"/>
      <c r="O70" s="13">
        <v>0</v>
      </c>
      <c r="P70" s="13"/>
      <c r="Q70" s="13">
        <f t="shared" si="1"/>
        <v>1283574</v>
      </c>
      <c r="R70" s="19"/>
      <c r="S70" s="13">
        <v>251784</v>
      </c>
      <c r="U70" s="79">
        <f>+Q70-'St of Net Assets - GA'!M69-'LT _Lia - GA'!S70</f>
        <v>0</v>
      </c>
    </row>
    <row r="71" spans="1:21" ht="12.75">
      <c r="A71" s="14" t="s">
        <v>63</v>
      </c>
      <c r="B71" s="14"/>
      <c r="C71" s="13">
        <v>9272316</v>
      </c>
      <c r="D71" s="13"/>
      <c r="E71" s="13">
        <v>3786100</v>
      </c>
      <c r="F71" s="13"/>
      <c r="G71" s="13">
        <v>0</v>
      </c>
      <c r="H71" s="13"/>
      <c r="I71" s="13">
        <v>13725064</v>
      </c>
      <c r="J71" s="13"/>
      <c r="K71" s="13">
        <v>48095</v>
      </c>
      <c r="L71" s="13"/>
      <c r="M71" s="13">
        <v>1466770</v>
      </c>
      <c r="N71" s="13"/>
      <c r="O71" s="13">
        <v>0</v>
      </c>
      <c r="P71" s="13"/>
      <c r="Q71" s="13">
        <f t="shared" si="1"/>
        <v>28298345</v>
      </c>
      <c r="R71" s="19"/>
      <c r="S71" s="13">
        <v>2749005</v>
      </c>
      <c r="U71" s="79">
        <f>+Q71-'St of Net Assets - GA'!M70-'LT _Lia - GA'!S71</f>
        <v>0</v>
      </c>
    </row>
    <row r="72" spans="1:21" ht="12.75" hidden="1">
      <c r="A72" s="14" t="s">
        <v>132</v>
      </c>
      <c r="B72" s="1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>
        <f t="shared" si="1"/>
        <v>0</v>
      </c>
      <c r="R72" s="19"/>
      <c r="S72" s="13"/>
      <c r="U72" s="79">
        <f>+Q72-'St of Net Assets - GA'!M71-'LT _Lia - GA'!S72</f>
        <v>0</v>
      </c>
    </row>
    <row r="73" spans="1:21" ht="12.75" hidden="1">
      <c r="A73" s="14" t="s">
        <v>64</v>
      </c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>
        <f t="shared" si="1"/>
        <v>0</v>
      </c>
      <c r="R73" s="19"/>
      <c r="S73" s="13"/>
      <c r="U73" s="79">
        <f>+Q73-'St of Net Assets - GA'!M72-'LT _Lia - GA'!S73</f>
        <v>0</v>
      </c>
    </row>
    <row r="74" spans="1:21" ht="12.75">
      <c r="A74" s="14"/>
      <c r="B74" s="14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 t="s">
        <v>235</v>
      </c>
      <c r="R74" s="19"/>
      <c r="S74" s="13"/>
      <c r="U74" s="79"/>
    </row>
    <row r="75" spans="1:21" ht="12.75">
      <c r="A75" s="14" t="s">
        <v>65</v>
      </c>
      <c r="B75" s="14"/>
      <c r="C75" s="27">
        <f>432196+5282+487234+956609+100000</f>
        <v>1981321</v>
      </c>
      <c r="D75" s="27"/>
      <c r="E75" s="27">
        <f>127000</f>
        <v>127000</v>
      </c>
      <c r="F75" s="27"/>
      <c r="G75" s="27">
        <v>0</v>
      </c>
      <c r="H75" s="27"/>
      <c r="I75" s="27">
        <v>0</v>
      </c>
      <c r="J75" s="27"/>
      <c r="K75" s="27">
        <v>116837</v>
      </c>
      <c r="L75" s="27"/>
      <c r="M75" s="27">
        <v>529505</v>
      </c>
      <c r="N75" s="27"/>
      <c r="O75" s="27">
        <v>0</v>
      </c>
      <c r="P75" s="27"/>
      <c r="Q75" s="27">
        <f t="shared" si="1"/>
        <v>2754663</v>
      </c>
      <c r="R75" s="19"/>
      <c r="S75" s="27">
        <v>1050373</v>
      </c>
      <c r="U75" s="79">
        <f>+Q75-'St of Net Assets - GA'!M73-'LT _Lia - GA'!S75</f>
        <v>0</v>
      </c>
    </row>
    <row r="76" spans="1:21" ht="12.75">
      <c r="A76" s="14" t="s">
        <v>66</v>
      </c>
      <c r="B76" s="14"/>
      <c r="C76" s="13">
        <v>0</v>
      </c>
      <c r="D76" s="13"/>
      <c r="E76" s="13">
        <v>0</v>
      </c>
      <c r="F76" s="13"/>
      <c r="G76" s="13">
        <v>3229729</v>
      </c>
      <c r="H76" s="13"/>
      <c r="I76" s="13">
        <f>1506785-19873-583913</f>
        <v>902999</v>
      </c>
      <c r="J76" s="13"/>
      <c r="K76" s="13">
        <v>19873</v>
      </c>
      <c r="L76" s="13"/>
      <c r="M76" s="13">
        <v>583913</v>
      </c>
      <c r="N76" s="13"/>
      <c r="O76" s="13">
        <v>0</v>
      </c>
      <c r="P76" s="13"/>
      <c r="Q76" s="13">
        <f aca="true" t="shared" si="2" ref="Q76:Q97">SUM(C76:O76)</f>
        <v>4736514</v>
      </c>
      <c r="R76" s="19"/>
      <c r="S76" s="13">
        <v>3084978</v>
      </c>
      <c r="U76" s="79">
        <f>+Q76-'St of Net Assets - GA'!M74-'LT _Lia - GA'!S76</f>
        <v>0</v>
      </c>
    </row>
    <row r="77" spans="1:21" ht="12.75">
      <c r="A77" s="14" t="s">
        <v>67</v>
      </c>
      <c r="B77" s="14"/>
      <c r="C77" s="13">
        <v>15673928</v>
      </c>
      <c r="D77" s="13"/>
      <c r="E77" s="13">
        <v>1158086</v>
      </c>
      <c r="F77" s="13"/>
      <c r="G77" s="13">
        <v>0</v>
      </c>
      <c r="H77" s="13"/>
      <c r="I77" s="13">
        <v>574088</v>
      </c>
      <c r="J77" s="13"/>
      <c r="K77" s="13">
        <v>0</v>
      </c>
      <c r="L77" s="13"/>
      <c r="M77" s="13">
        <v>4502490</v>
      </c>
      <c r="N77" s="13"/>
      <c r="O77" s="13">
        <v>0</v>
      </c>
      <c r="P77" s="13"/>
      <c r="Q77" s="13">
        <f t="shared" si="2"/>
        <v>21908592</v>
      </c>
      <c r="R77" s="19"/>
      <c r="S77" s="13">
        <v>3118836</v>
      </c>
      <c r="U77" s="79">
        <f>+Q77-'St of Net Assets - GA'!M75-'LT _Lia - GA'!S77</f>
        <v>0</v>
      </c>
    </row>
    <row r="78" spans="1:21" ht="12.75">
      <c r="A78" s="14" t="s">
        <v>68</v>
      </c>
      <c r="B78" s="14"/>
      <c r="C78" s="13">
        <v>2803348</v>
      </c>
      <c r="D78" s="13"/>
      <c r="E78" s="13">
        <v>0</v>
      </c>
      <c r="F78" s="13"/>
      <c r="G78" s="13">
        <v>118872</v>
      </c>
      <c r="H78" s="13"/>
      <c r="I78" s="13">
        <v>0</v>
      </c>
      <c r="J78" s="13"/>
      <c r="K78" s="13">
        <v>47312</v>
      </c>
      <c r="L78" s="13"/>
      <c r="M78" s="13">
        <v>730570</v>
      </c>
      <c r="N78" s="13"/>
      <c r="O78" s="13">
        <v>0</v>
      </c>
      <c r="P78" s="13"/>
      <c r="Q78" s="13">
        <f t="shared" si="2"/>
        <v>3700102</v>
      </c>
      <c r="R78" s="19"/>
      <c r="S78" s="13">
        <v>696002</v>
      </c>
      <c r="U78" s="79">
        <f>+Q78-'St of Net Assets - GA'!M76-'LT _Lia - GA'!S78</f>
        <v>0</v>
      </c>
    </row>
    <row r="79" spans="1:21" ht="12.75" hidden="1">
      <c r="A79" s="14" t="s">
        <v>176</v>
      </c>
      <c r="B79" s="14"/>
      <c r="C79" s="13">
        <v>0</v>
      </c>
      <c r="D79" s="13"/>
      <c r="E79" s="13">
        <v>0</v>
      </c>
      <c r="F79" s="13"/>
      <c r="G79" s="13">
        <v>0</v>
      </c>
      <c r="H79" s="13"/>
      <c r="I79" s="13">
        <v>0</v>
      </c>
      <c r="J79" s="13"/>
      <c r="K79" s="13">
        <v>0</v>
      </c>
      <c r="L79" s="13"/>
      <c r="M79" s="13">
        <v>0</v>
      </c>
      <c r="N79" s="13"/>
      <c r="O79" s="13">
        <v>0</v>
      </c>
      <c r="P79" s="13"/>
      <c r="Q79" s="13">
        <f t="shared" si="2"/>
        <v>0</v>
      </c>
      <c r="R79" s="19"/>
      <c r="S79" s="13">
        <v>0</v>
      </c>
      <c r="U79" s="79">
        <f>+Q79-'St of Net Assets - GA'!M77-'LT _Lia - GA'!S79</f>
        <v>0</v>
      </c>
    </row>
    <row r="80" spans="1:21" ht="12.75">
      <c r="A80" s="14" t="s">
        <v>181</v>
      </c>
      <c r="B80" s="14"/>
      <c r="C80" s="13">
        <v>7902702</v>
      </c>
      <c r="D80" s="13"/>
      <c r="E80" s="13">
        <v>7890847</v>
      </c>
      <c r="F80" s="13"/>
      <c r="G80" s="13">
        <v>9393000</v>
      </c>
      <c r="H80" s="13"/>
      <c r="I80" s="13">
        <v>0</v>
      </c>
      <c r="J80" s="13"/>
      <c r="K80" s="13">
        <v>1704930</v>
      </c>
      <c r="L80" s="13"/>
      <c r="M80" s="13">
        <v>3647794</v>
      </c>
      <c r="N80" s="13"/>
      <c r="O80" s="13">
        <v>42650</v>
      </c>
      <c r="P80" s="13"/>
      <c r="Q80" s="13">
        <f t="shared" si="2"/>
        <v>30581923</v>
      </c>
      <c r="R80" s="19"/>
      <c r="S80" s="13">
        <v>3479845</v>
      </c>
      <c r="U80" s="79">
        <f>+Q80-'St of Net Assets - GA'!M80-'LT _Lia - GA'!S80</f>
        <v>0</v>
      </c>
    </row>
    <row r="81" spans="1:21" ht="12.75">
      <c r="A81" s="14" t="s">
        <v>69</v>
      </c>
      <c r="B81" s="14"/>
      <c r="C81" s="13">
        <f>1790000+2785000+14856-500</f>
        <v>4589356</v>
      </c>
      <c r="D81" s="13"/>
      <c r="E81" s="13">
        <f>3635000</f>
        <v>3635000</v>
      </c>
      <c r="F81" s="13"/>
      <c r="G81" s="13">
        <v>4713000</v>
      </c>
      <c r="H81" s="13"/>
      <c r="I81" s="13">
        <f>849917+20912</f>
        <v>870829</v>
      </c>
      <c r="J81" s="13"/>
      <c r="K81" s="13">
        <v>129782</v>
      </c>
      <c r="L81" s="13"/>
      <c r="M81" s="13">
        <v>1997308</v>
      </c>
      <c r="N81" s="13"/>
      <c r="O81" s="13">
        <v>0</v>
      </c>
      <c r="P81" s="13"/>
      <c r="Q81" s="13">
        <f t="shared" si="2"/>
        <v>15935275</v>
      </c>
      <c r="R81" s="19"/>
      <c r="S81" s="13">
        <v>1908992</v>
      </c>
      <c r="U81" s="79">
        <f>+Q81-'St of Net Assets - GA'!M81-'LT _Lia - GA'!S81</f>
        <v>0</v>
      </c>
    </row>
    <row r="82" spans="1:21" ht="12.75">
      <c r="A82" s="14" t="s">
        <v>98</v>
      </c>
      <c r="B82" s="14"/>
      <c r="C82" s="13">
        <v>4950000</v>
      </c>
      <c r="D82" s="13"/>
      <c r="E82" s="13">
        <v>264347</v>
      </c>
      <c r="F82" s="13"/>
      <c r="G82" s="13">
        <v>0</v>
      </c>
      <c r="H82" s="13"/>
      <c r="I82" s="13">
        <f>281453+1295559</f>
        <v>1577012</v>
      </c>
      <c r="J82" s="13"/>
      <c r="K82" s="13">
        <v>156965</v>
      </c>
      <c r="L82" s="13"/>
      <c r="M82" s="13">
        <v>2329664</v>
      </c>
      <c r="N82" s="13"/>
      <c r="O82" s="13">
        <v>0</v>
      </c>
      <c r="P82" s="13"/>
      <c r="Q82" s="13">
        <f t="shared" si="2"/>
        <v>9277988</v>
      </c>
      <c r="R82" s="19"/>
      <c r="S82" s="13">
        <v>1510860</v>
      </c>
      <c r="U82" s="79">
        <f>+Q82-'St of Net Assets - GA'!M82-'LT _Lia - GA'!S82</f>
        <v>0</v>
      </c>
    </row>
    <row r="83" spans="1:21" ht="12.75">
      <c r="A83" s="14" t="s">
        <v>70</v>
      </c>
      <c r="B83" s="14"/>
      <c r="C83" s="13">
        <v>13562558</v>
      </c>
      <c r="D83" s="13"/>
      <c r="E83" s="13">
        <v>0</v>
      </c>
      <c r="F83" s="13"/>
      <c r="G83" s="13">
        <v>0</v>
      </c>
      <c r="H83" s="13"/>
      <c r="I83" s="13">
        <f>46825+861229+1281360+27600</f>
        <v>2217014</v>
      </c>
      <c r="J83" s="13"/>
      <c r="K83" s="13">
        <v>962843</v>
      </c>
      <c r="L83" s="13"/>
      <c r="M83" s="13">
        <v>1979686</v>
      </c>
      <c r="N83" s="13"/>
      <c r="O83" s="13">
        <v>0</v>
      </c>
      <c r="P83" s="13"/>
      <c r="Q83" s="13">
        <f t="shared" si="2"/>
        <v>18722101</v>
      </c>
      <c r="R83" s="19"/>
      <c r="S83" s="13">
        <v>2262731</v>
      </c>
      <c r="U83" s="79">
        <f>+Q83-'St of Net Assets - GA'!M83-'LT _Lia - GA'!S83</f>
        <v>0</v>
      </c>
    </row>
    <row r="84" spans="1:21" ht="12.75">
      <c r="A84" s="14" t="s">
        <v>71</v>
      </c>
      <c r="B84" s="14"/>
      <c r="C84" s="13">
        <v>5805000</v>
      </c>
      <c r="D84" s="13"/>
      <c r="E84" s="13">
        <v>0</v>
      </c>
      <c r="F84" s="13"/>
      <c r="G84" s="13">
        <v>855000</v>
      </c>
      <c r="H84" s="13"/>
      <c r="I84" s="13">
        <v>87684</v>
      </c>
      <c r="J84" s="13"/>
      <c r="K84" s="13">
        <v>0</v>
      </c>
      <c r="L84" s="13"/>
      <c r="M84" s="13">
        <v>1576431</v>
      </c>
      <c r="N84" s="13"/>
      <c r="O84" s="13">
        <v>0</v>
      </c>
      <c r="P84" s="13"/>
      <c r="Q84" s="13">
        <f t="shared" si="2"/>
        <v>8324115</v>
      </c>
      <c r="R84" s="19"/>
      <c r="S84" s="13">
        <v>1593181</v>
      </c>
      <c r="U84" s="79">
        <f>+Q84-'St of Net Assets - GA'!M84-'LT _Lia - GA'!S84</f>
        <v>0</v>
      </c>
    </row>
    <row r="85" spans="1:21" ht="12.75">
      <c r="A85" s="14" t="s">
        <v>72</v>
      </c>
      <c r="B85" s="14"/>
      <c r="C85" s="13">
        <v>1124000</v>
      </c>
      <c r="D85" s="13"/>
      <c r="E85" s="13">
        <v>0</v>
      </c>
      <c r="F85" s="13"/>
      <c r="G85" s="13">
        <v>98382</v>
      </c>
      <c r="H85" s="13"/>
      <c r="I85" s="13">
        <v>27575</v>
      </c>
      <c r="J85" s="13"/>
      <c r="K85" s="13">
        <v>29832</v>
      </c>
      <c r="L85" s="13"/>
      <c r="M85" s="13">
        <v>1483725</v>
      </c>
      <c r="N85" s="13"/>
      <c r="O85" s="13">
        <v>0</v>
      </c>
      <c r="P85" s="13"/>
      <c r="Q85" s="13">
        <f t="shared" si="2"/>
        <v>2763514</v>
      </c>
      <c r="R85" s="19"/>
      <c r="S85" s="13">
        <v>230276</v>
      </c>
      <c r="U85" s="79">
        <f>+Q85-'St of Net Assets - GA'!M85-'LT _Lia - GA'!S85</f>
        <v>0</v>
      </c>
    </row>
    <row r="86" spans="1:21" ht="12.75">
      <c r="A86" s="14" t="s">
        <v>73</v>
      </c>
      <c r="B86" s="14"/>
      <c r="C86" s="13">
        <v>0</v>
      </c>
      <c r="D86" s="13"/>
      <c r="E86" s="13">
        <v>5162150</v>
      </c>
      <c r="F86" s="13"/>
      <c r="G86" s="13">
        <v>0</v>
      </c>
      <c r="H86" s="13"/>
      <c r="I86" s="13">
        <v>3638234</v>
      </c>
      <c r="J86" s="13"/>
      <c r="K86" s="13">
        <v>214106</v>
      </c>
      <c r="L86" s="13"/>
      <c r="M86" s="13">
        <v>8151942</v>
      </c>
      <c r="N86" s="13"/>
      <c r="O86" s="13">
        <v>0</v>
      </c>
      <c r="P86" s="13"/>
      <c r="Q86" s="13">
        <f t="shared" si="2"/>
        <v>17166432</v>
      </c>
      <c r="R86" s="19"/>
      <c r="S86" s="13">
        <v>5330301</v>
      </c>
      <c r="U86" s="79">
        <f>+Q86-'St of Net Assets - GA'!M86-'LT _Lia - GA'!S86</f>
        <v>0</v>
      </c>
    </row>
    <row r="87" spans="1:21" ht="12.75">
      <c r="A87" s="14" t="s">
        <v>74</v>
      </c>
      <c r="B87" s="14"/>
      <c r="C87" s="13">
        <f>68665286+1399427+710561+3714799-2716777</f>
        <v>71773296</v>
      </c>
      <c r="D87" s="13"/>
      <c r="E87" s="13">
        <v>0</v>
      </c>
      <c r="F87" s="13"/>
      <c r="G87" s="13">
        <v>2910000</v>
      </c>
      <c r="H87" s="13"/>
      <c r="I87" s="13">
        <v>0</v>
      </c>
      <c r="J87" s="13"/>
      <c r="K87" s="13">
        <v>1466213</v>
      </c>
      <c r="L87" s="13"/>
      <c r="M87" s="13">
        <v>21285279</v>
      </c>
      <c r="N87" s="13"/>
      <c r="O87" s="13">
        <f>9819988+5461281</f>
        <v>15281269</v>
      </c>
      <c r="P87" s="13"/>
      <c r="Q87" s="13">
        <f t="shared" si="2"/>
        <v>112716057</v>
      </c>
      <c r="R87" s="19"/>
      <c r="S87" s="13">
        <v>19003130</v>
      </c>
      <c r="U87" s="79">
        <f>+Q87-'St of Net Assets - GA'!M87-'LT _Lia - GA'!S87</f>
        <v>0</v>
      </c>
    </row>
    <row r="88" spans="1:21" ht="12.75">
      <c r="A88" s="14" t="s">
        <v>75</v>
      </c>
      <c r="B88" s="14"/>
      <c r="C88" s="13">
        <f>15963395</f>
        <v>15963395</v>
      </c>
      <c r="D88" s="13"/>
      <c r="E88" s="13">
        <v>2824305</v>
      </c>
      <c r="F88" s="13"/>
      <c r="G88" s="13">
        <v>17935000</v>
      </c>
      <c r="H88" s="13"/>
      <c r="I88" s="13">
        <f>1298700+1156070</f>
        <v>2454770</v>
      </c>
      <c r="J88" s="13"/>
      <c r="K88" s="13">
        <v>759056</v>
      </c>
      <c r="L88" s="13"/>
      <c r="M88" s="13">
        <v>4819239</v>
      </c>
      <c r="N88" s="13"/>
      <c r="O88" s="13">
        <v>0</v>
      </c>
      <c r="P88" s="13"/>
      <c r="Q88" s="13">
        <f t="shared" si="2"/>
        <v>44755765</v>
      </c>
      <c r="R88" s="19"/>
      <c r="S88" s="13">
        <v>3014054</v>
      </c>
      <c r="U88" s="79">
        <f>+Q88-'St of Net Assets - GA'!M88-'LT _Lia - GA'!S88</f>
        <v>0</v>
      </c>
    </row>
    <row r="89" spans="1:21" ht="12.75">
      <c r="A89" s="14" t="s">
        <v>76</v>
      </c>
      <c r="B89" s="14"/>
      <c r="C89" s="13">
        <v>0</v>
      </c>
      <c r="D89" s="13"/>
      <c r="E89" s="13">
        <v>0</v>
      </c>
      <c r="F89" s="13"/>
      <c r="G89" s="13">
        <v>970000</v>
      </c>
      <c r="H89" s="13"/>
      <c r="I89" s="13">
        <v>0</v>
      </c>
      <c r="J89" s="13"/>
      <c r="K89" s="13">
        <v>29517</v>
      </c>
      <c r="L89" s="13"/>
      <c r="M89" s="13">
        <v>1631466</v>
      </c>
      <c r="N89" s="13"/>
      <c r="O89" s="13">
        <v>0</v>
      </c>
      <c r="P89" s="13"/>
      <c r="Q89" s="13">
        <f t="shared" si="2"/>
        <v>2630983</v>
      </c>
      <c r="R89" s="19"/>
      <c r="S89" s="13">
        <v>740071</v>
      </c>
      <c r="U89" s="79">
        <f>+Q89-'St of Net Assets - GA'!M89-'LT _Lia - GA'!S89</f>
        <v>0</v>
      </c>
    </row>
    <row r="90" spans="1:21" ht="12.75">
      <c r="A90" s="14" t="s">
        <v>77</v>
      </c>
      <c r="B90" s="14"/>
      <c r="C90" s="13">
        <f>2665000</f>
        <v>2665000</v>
      </c>
      <c r="D90" s="13"/>
      <c r="E90" s="13">
        <v>0</v>
      </c>
      <c r="F90" s="13"/>
      <c r="G90" s="13">
        <v>0</v>
      </c>
      <c r="H90" s="13"/>
      <c r="I90" s="13">
        <v>82190</v>
      </c>
      <c r="J90" s="13"/>
      <c r="K90" s="13">
        <v>0</v>
      </c>
      <c r="L90" s="13"/>
      <c r="M90" s="13">
        <v>1161619</v>
      </c>
      <c r="N90" s="13"/>
      <c r="O90" s="13">
        <v>4950000</v>
      </c>
      <c r="P90" s="13"/>
      <c r="Q90" s="13">
        <f t="shared" si="2"/>
        <v>8858809</v>
      </c>
      <c r="R90" s="19"/>
      <c r="S90" s="13">
        <v>1587144</v>
      </c>
      <c r="U90" s="79">
        <f>+Q90-'St of Net Assets - GA'!M90-'LT _Lia - GA'!S90</f>
        <v>0</v>
      </c>
    </row>
    <row r="91" spans="1:21" ht="12.75">
      <c r="A91" s="14" t="s">
        <v>78</v>
      </c>
      <c r="B91" s="14"/>
      <c r="C91" s="13">
        <v>0</v>
      </c>
      <c r="D91" s="13"/>
      <c r="E91" s="13">
        <v>0</v>
      </c>
      <c r="F91" s="13"/>
      <c r="G91" s="13">
        <f>2488545+237952</f>
        <v>2726497</v>
      </c>
      <c r="H91" s="13"/>
      <c r="I91" s="13">
        <v>0</v>
      </c>
      <c r="J91" s="13"/>
      <c r="K91" s="13">
        <v>248108</v>
      </c>
      <c r="L91" s="13"/>
      <c r="M91" s="13">
        <v>725359</v>
      </c>
      <c r="N91" s="13"/>
      <c r="O91" s="13">
        <v>0</v>
      </c>
      <c r="P91" s="13"/>
      <c r="Q91" s="13">
        <f t="shared" si="2"/>
        <v>3699964</v>
      </c>
      <c r="R91" s="19"/>
      <c r="S91" s="13">
        <v>992236</v>
      </c>
      <c r="U91" s="79">
        <f>+Q91-'St of Net Assets - GA'!M91-'LT _Lia - GA'!S91</f>
        <v>0</v>
      </c>
    </row>
    <row r="92" spans="1:21" ht="12.75">
      <c r="A92" s="14" t="s">
        <v>79</v>
      </c>
      <c r="B92" s="14"/>
      <c r="C92" s="13">
        <f>1870661+51164+148547+190013</f>
        <v>2260385</v>
      </c>
      <c r="D92" s="13"/>
      <c r="E92" s="13">
        <v>0</v>
      </c>
      <c r="F92" s="13"/>
      <c r="G92" s="13">
        <v>0</v>
      </c>
      <c r="H92" s="13"/>
      <c r="I92" s="13">
        <v>0</v>
      </c>
      <c r="J92" s="13"/>
      <c r="K92" s="13">
        <v>0</v>
      </c>
      <c r="L92" s="13"/>
      <c r="M92" s="13">
        <v>329848</v>
      </c>
      <c r="N92" s="13"/>
      <c r="O92" s="13">
        <v>0</v>
      </c>
      <c r="P92" s="13"/>
      <c r="Q92" s="13">
        <f t="shared" si="2"/>
        <v>2590233</v>
      </c>
      <c r="R92" s="19"/>
      <c r="S92" s="13">
        <f>8819+6281+8268+21717+47640</f>
        <v>92725</v>
      </c>
      <c r="U92" s="79">
        <f>+Q92-'St of Net Assets - GA'!M92-'LT _Lia - GA'!S92</f>
        <v>0</v>
      </c>
    </row>
    <row r="93" spans="1:21" ht="12.75">
      <c r="A93" s="14" t="s">
        <v>80</v>
      </c>
      <c r="B93" s="14"/>
      <c r="C93" s="13">
        <f>5502002</f>
        <v>5502002</v>
      </c>
      <c r="D93" s="13"/>
      <c r="E93" s="13">
        <f>13841411</f>
        <v>13841411</v>
      </c>
      <c r="F93" s="13"/>
      <c r="G93" s="13">
        <f>1610000</f>
        <v>1610000</v>
      </c>
      <c r="H93" s="13"/>
      <c r="I93" s="13">
        <f>8146047</f>
        <v>8146047</v>
      </c>
      <c r="J93" s="13"/>
      <c r="K93" s="13">
        <v>22952</v>
      </c>
      <c r="L93" s="13"/>
      <c r="M93" s="13">
        <v>4433779</v>
      </c>
      <c r="N93" s="13"/>
      <c r="O93" s="13">
        <v>0</v>
      </c>
      <c r="P93" s="13"/>
      <c r="Q93" s="13">
        <f t="shared" si="2"/>
        <v>33556191</v>
      </c>
      <c r="R93" s="19"/>
      <c r="S93" s="13">
        <f>2020396+1610000</f>
        <v>3630396</v>
      </c>
      <c r="U93" s="79">
        <f>+Q93-'St of Net Assets - GA'!M93-'LT _Lia - GA'!S93</f>
        <v>0</v>
      </c>
    </row>
    <row r="94" spans="1:21" ht="12.75">
      <c r="A94" s="14" t="s">
        <v>81</v>
      </c>
      <c r="B94" s="14"/>
      <c r="C94" s="13">
        <v>6372606</v>
      </c>
      <c r="D94" s="13"/>
      <c r="E94" s="13">
        <v>0</v>
      </c>
      <c r="F94" s="13"/>
      <c r="G94" s="13">
        <f>709440+34356</f>
        <v>743796</v>
      </c>
      <c r="H94" s="13"/>
      <c r="I94" s="13">
        <v>0</v>
      </c>
      <c r="J94" s="13"/>
      <c r="K94" s="13">
        <v>45542</v>
      </c>
      <c r="L94" s="13"/>
      <c r="M94" s="13">
        <v>281592</v>
      </c>
      <c r="N94" s="13"/>
      <c r="O94" s="13">
        <v>0</v>
      </c>
      <c r="P94" s="13"/>
      <c r="Q94" s="13">
        <f t="shared" si="2"/>
        <v>7443536</v>
      </c>
      <c r="R94" s="19"/>
      <c r="S94" s="13">
        <v>518477</v>
      </c>
      <c r="U94" s="79">
        <f>+Q94-'St of Net Assets - GA'!M94-'LT _Lia - GA'!S94</f>
        <v>0</v>
      </c>
    </row>
    <row r="95" spans="1:21" ht="12.75">
      <c r="A95" s="14" t="s">
        <v>82</v>
      </c>
      <c r="B95" s="14"/>
      <c r="C95" s="13">
        <v>10653500</v>
      </c>
      <c r="D95" s="13"/>
      <c r="E95" s="13">
        <v>0</v>
      </c>
      <c r="F95" s="13"/>
      <c r="G95" s="13">
        <v>0</v>
      </c>
      <c r="H95" s="13"/>
      <c r="I95" s="13">
        <v>100000</v>
      </c>
      <c r="J95" s="13"/>
      <c r="K95" s="13">
        <v>0</v>
      </c>
      <c r="L95" s="13"/>
      <c r="M95" s="13">
        <v>3033501</v>
      </c>
      <c r="N95" s="13"/>
      <c r="O95" s="13">
        <v>0</v>
      </c>
      <c r="P95" s="13"/>
      <c r="Q95" s="13">
        <f t="shared" si="2"/>
        <v>13787001</v>
      </c>
      <c r="R95" s="19"/>
      <c r="S95" s="13">
        <v>1404699</v>
      </c>
      <c r="U95" s="79">
        <f>+Q95-'St of Net Assets - GA'!M95-'LT _Lia - GA'!S95</f>
        <v>0</v>
      </c>
    </row>
    <row r="96" spans="1:21" ht="12.75" hidden="1">
      <c r="A96" s="14" t="s">
        <v>174</v>
      </c>
      <c r="B96" s="14"/>
      <c r="C96" s="13">
        <v>0</v>
      </c>
      <c r="D96" s="13"/>
      <c r="E96" s="13">
        <v>0</v>
      </c>
      <c r="F96" s="13"/>
      <c r="G96" s="13">
        <v>0</v>
      </c>
      <c r="H96" s="13"/>
      <c r="I96" s="13">
        <v>0</v>
      </c>
      <c r="J96" s="13"/>
      <c r="K96" s="13">
        <v>0</v>
      </c>
      <c r="L96" s="13"/>
      <c r="M96" s="13">
        <v>0</v>
      </c>
      <c r="N96" s="13"/>
      <c r="O96" s="13">
        <v>0</v>
      </c>
      <c r="P96" s="13"/>
      <c r="Q96" s="13">
        <f t="shared" si="2"/>
        <v>0</v>
      </c>
      <c r="R96" s="19"/>
      <c r="S96" s="13">
        <v>0</v>
      </c>
      <c r="U96" s="79">
        <f>+Q96-'St of Net Assets - GA'!M96-'LT _Lia - GA'!S96</f>
        <v>0</v>
      </c>
    </row>
    <row r="97" spans="1:21" ht="12.75">
      <c r="A97" s="14" t="s">
        <v>83</v>
      </c>
      <c r="B97" s="14"/>
      <c r="C97" s="13">
        <v>7839428</v>
      </c>
      <c r="D97" s="13"/>
      <c r="E97" s="13">
        <v>1743000</v>
      </c>
      <c r="F97" s="13"/>
      <c r="G97" s="13">
        <v>0</v>
      </c>
      <c r="H97" s="13"/>
      <c r="I97" s="13">
        <v>0</v>
      </c>
      <c r="J97" s="13"/>
      <c r="K97" s="13">
        <v>9202</v>
      </c>
      <c r="L97" s="13"/>
      <c r="M97" s="13">
        <v>3676932</v>
      </c>
      <c r="N97" s="13"/>
      <c r="O97" s="13">
        <v>0</v>
      </c>
      <c r="P97" s="13"/>
      <c r="Q97" s="13">
        <f t="shared" si="2"/>
        <v>13268562</v>
      </c>
      <c r="R97" s="19"/>
      <c r="S97" s="13">
        <v>2931914</v>
      </c>
      <c r="U97" s="79">
        <f>+Q97-'St of Net Assets - GA'!M97-'LT _Lia - GA'!S97</f>
        <v>0</v>
      </c>
    </row>
    <row r="98" spans="1:21" ht="12.75" hidden="1">
      <c r="A98" s="14" t="s">
        <v>175</v>
      </c>
      <c r="B98" s="14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>
        <f>SUM(C98:O98)</f>
        <v>0</v>
      </c>
      <c r="R98" s="19"/>
      <c r="S98" s="13"/>
      <c r="U98" s="79">
        <f>+Q98-'St of Net Assets - GA'!M98-'LT _Lia - GA'!S98</f>
        <v>0</v>
      </c>
    </row>
    <row r="99" spans="1:19" ht="12.75">
      <c r="A99" s="14"/>
      <c r="B99" s="1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4"/>
    </row>
    <row r="100" spans="1:19" ht="12.75">
      <c r="A100" s="14"/>
      <c r="B100" s="1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14"/>
    </row>
    <row r="101" spans="1:19" ht="12.75">
      <c r="A101" s="14"/>
      <c r="B101" s="1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14"/>
    </row>
    <row r="102" spans="1:19" ht="12.75">
      <c r="A102" s="14"/>
      <c r="B102" s="1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4"/>
    </row>
    <row r="103" spans="1:19" ht="12.75">
      <c r="A103" s="14"/>
      <c r="B103" s="1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4"/>
    </row>
    <row r="104" spans="1:19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</sheetData>
  <printOptions/>
  <pageMargins left="0.75" right="0.75" top="0.5" bottom="0.5" header="0" footer="0.25"/>
  <pageSetup firstPageNumber="58" useFirstPageNumber="1" horizontalDpi="600" verticalDpi="600" orientation="portrait" pageOrder="overThenDown" r:id="rId1"/>
  <headerFooter alignWithMargins="0">
    <oddFooter>&amp;C&amp;"Times New Roman,Regular"&amp;11&amp;P</oddFooter>
  </headerFooter>
  <rowBreaks count="1" manualBreakCount="1">
    <brk id="7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102"/>
  <sheetViews>
    <sheetView zoomScaleSheetLayoutView="100" workbookViewId="0" topLeftCell="A1">
      <pane xSplit="1" ySplit="8" topLeftCell="B4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86" sqref="A86"/>
    </sheetView>
  </sheetViews>
  <sheetFormatPr defaultColWidth="9.140625" defaultRowHeight="12.75"/>
  <cols>
    <col min="1" max="1" width="15.7109375" style="78" customWidth="1"/>
    <col min="2" max="2" width="1.7109375" style="78" customWidth="1"/>
    <col min="3" max="3" width="10.7109375" style="79" customWidth="1"/>
    <col min="4" max="4" width="1.7109375" style="79" customWidth="1"/>
    <col min="5" max="5" width="10.7109375" style="79" customWidth="1"/>
    <col min="6" max="6" width="1.7109375" style="79" customWidth="1"/>
    <col min="7" max="7" width="10.7109375" style="79" customWidth="1"/>
    <col min="8" max="8" width="1.7109375" style="79" customWidth="1"/>
    <col min="9" max="9" width="10.7109375" style="79" customWidth="1"/>
    <col min="10" max="10" width="1.7109375" style="79" customWidth="1"/>
    <col min="11" max="11" width="10.7109375" style="79" customWidth="1"/>
    <col min="12" max="12" width="2.421875" style="79" customWidth="1"/>
    <col min="13" max="13" width="10.7109375" style="79" customWidth="1"/>
    <col min="14" max="14" width="1.7109375" style="79" customWidth="1"/>
    <col min="15" max="15" width="10.7109375" style="79" customWidth="1"/>
    <col min="16" max="16" width="1.7109375" style="79" customWidth="1"/>
    <col min="17" max="17" width="12.7109375" style="79" customWidth="1"/>
    <col min="18" max="18" width="1.7109375" style="79" customWidth="1"/>
    <col min="19" max="19" width="10.7109375" style="79" customWidth="1"/>
    <col min="20" max="20" width="1.7109375" style="79" customWidth="1"/>
    <col min="21" max="21" width="10.7109375" style="79" customWidth="1"/>
    <col min="22" max="22" width="1.7109375" style="79" customWidth="1"/>
    <col min="23" max="23" width="10.7109375" style="79" customWidth="1"/>
    <col min="24" max="24" width="1.7109375" style="79" customWidth="1"/>
    <col min="25" max="25" width="12.7109375" style="79" customWidth="1"/>
    <col min="26" max="27" width="9.28125" style="78" bestFit="1" customWidth="1"/>
    <col min="28" max="16384" width="9.140625" style="78" customWidth="1"/>
  </cols>
  <sheetData>
    <row r="1" spans="1:25" ht="12.75">
      <c r="A1" s="28" t="s">
        <v>202</v>
      </c>
      <c r="B1" s="1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2.75">
      <c r="A2" s="28" t="s">
        <v>248</v>
      </c>
      <c r="B2" s="1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>
      <c r="A3" s="28" t="s">
        <v>187</v>
      </c>
      <c r="B3" s="1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>
      <c r="A4" s="15" t="s">
        <v>261</v>
      </c>
      <c r="B4" s="1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>
      <c r="A5" s="28"/>
      <c r="B5" s="15"/>
      <c r="C5" s="29" t="s">
        <v>144</v>
      </c>
      <c r="D5" s="29"/>
      <c r="E5" s="29"/>
      <c r="F5" s="29"/>
      <c r="G5" s="29"/>
      <c r="H5" s="5"/>
      <c r="I5" s="29" t="s">
        <v>145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30"/>
      <c r="W5" s="31" t="s">
        <v>4</v>
      </c>
      <c r="X5" s="30"/>
      <c r="Y5" s="3" t="s">
        <v>4</v>
      </c>
    </row>
    <row r="6" spans="1:25" ht="12.75">
      <c r="A6" s="8"/>
      <c r="B6" s="8"/>
      <c r="C6" s="31" t="s">
        <v>0</v>
      </c>
      <c r="D6" s="31"/>
      <c r="E6" s="31" t="s">
        <v>147</v>
      </c>
      <c r="F6" s="31"/>
      <c r="G6" s="31" t="s">
        <v>87</v>
      </c>
      <c r="H6" s="5"/>
      <c r="I6" s="3" t="s">
        <v>148</v>
      </c>
      <c r="J6" s="3"/>
      <c r="K6" s="3" t="s">
        <v>167</v>
      </c>
      <c r="L6" s="3"/>
      <c r="M6" s="3" t="s">
        <v>105</v>
      </c>
      <c r="N6" s="3"/>
      <c r="O6" s="3" t="s">
        <v>143</v>
      </c>
      <c r="P6" s="3"/>
      <c r="Q6" s="31" t="s">
        <v>149</v>
      </c>
      <c r="R6" s="31"/>
      <c r="S6" s="31"/>
      <c r="T6" s="31"/>
      <c r="U6" s="31"/>
      <c r="V6" s="31"/>
      <c r="W6" s="31" t="s">
        <v>103</v>
      </c>
      <c r="X6" s="31"/>
      <c r="Y6" s="31" t="s">
        <v>179</v>
      </c>
    </row>
    <row r="7" spans="1:25" ht="12.75">
      <c r="A7" s="32" t="s">
        <v>5</v>
      </c>
      <c r="B7" s="8"/>
      <c r="C7" s="2" t="s">
        <v>8</v>
      </c>
      <c r="D7" s="5"/>
      <c r="E7" s="2" t="s">
        <v>151</v>
      </c>
      <c r="F7" s="5"/>
      <c r="G7" s="2" t="s">
        <v>152</v>
      </c>
      <c r="H7" s="5"/>
      <c r="I7" s="2" t="s">
        <v>6</v>
      </c>
      <c r="J7" s="5"/>
      <c r="K7" s="2" t="s">
        <v>6</v>
      </c>
      <c r="L7" s="2"/>
      <c r="M7" s="2" t="s">
        <v>6</v>
      </c>
      <c r="N7" s="5"/>
      <c r="O7" s="2" t="s">
        <v>152</v>
      </c>
      <c r="P7" s="5"/>
      <c r="Q7" s="2" t="s">
        <v>153</v>
      </c>
      <c r="R7" s="5"/>
      <c r="S7" s="2" t="s">
        <v>105</v>
      </c>
      <c r="T7" s="5"/>
      <c r="U7" s="2" t="s">
        <v>154</v>
      </c>
      <c r="V7" s="5"/>
      <c r="W7" s="2" t="s">
        <v>12</v>
      </c>
      <c r="X7" s="5"/>
      <c r="Y7" s="2" t="s">
        <v>180</v>
      </c>
    </row>
    <row r="8" spans="1:25" ht="12.75">
      <c r="A8" s="8"/>
      <c r="B8" s="8"/>
      <c r="C8" s="3"/>
      <c r="D8" s="5"/>
      <c r="E8" s="3"/>
      <c r="F8" s="5"/>
      <c r="G8" s="3"/>
      <c r="H8" s="5"/>
      <c r="I8" s="3"/>
      <c r="J8" s="5"/>
      <c r="K8" s="3"/>
      <c r="L8" s="3"/>
      <c r="M8" s="3"/>
      <c r="N8" s="5"/>
      <c r="O8" s="3"/>
      <c r="P8" s="5"/>
      <c r="Q8" s="3"/>
      <c r="R8" s="5"/>
      <c r="S8" s="3"/>
      <c r="T8" s="5"/>
      <c r="U8" s="3"/>
      <c r="V8" s="5"/>
      <c r="W8" s="5"/>
      <c r="X8" s="5"/>
      <c r="Y8" s="3"/>
    </row>
    <row r="9" spans="1:25" ht="12.75" hidden="1">
      <c r="A9" s="76" t="s">
        <v>251</v>
      </c>
      <c r="B9" s="8"/>
      <c r="C9" s="26">
        <v>0</v>
      </c>
      <c r="D9" s="26"/>
      <c r="E9" s="26">
        <v>0</v>
      </c>
      <c r="F9" s="26"/>
      <c r="G9" s="26">
        <v>0</v>
      </c>
      <c r="H9" s="26"/>
      <c r="I9" s="26">
        <v>0</v>
      </c>
      <c r="J9" s="26"/>
      <c r="K9" s="26">
        <v>0</v>
      </c>
      <c r="L9" s="26"/>
      <c r="M9" s="26">
        <v>0</v>
      </c>
      <c r="N9" s="26"/>
      <c r="O9" s="26">
        <v>0</v>
      </c>
      <c r="P9" s="26"/>
      <c r="Q9" s="26">
        <v>0</v>
      </c>
      <c r="R9" s="26"/>
      <c r="S9" s="26">
        <v>0</v>
      </c>
      <c r="T9" s="26"/>
      <c r="U9" s="26">
        <v>0</v>
      </c>
      <c r="V9" s="26"/>
      <c r="W9" s="26">
        <f>SUM(I9:U9)</f>
        <v>0</v>
      </c>
      <c r="X9" s="26"/>
      <c r="Y9" s="26">
        <f>SUM(B9:V9)</f>
        <v>0</v>
      </c>
    </row>
    <row r="10" spans="1:25" ht="12.75">
      <c r="A10" s="4" t="s">
        <v>13</v>
      </c>
      <c r="B10" s="4"/>
      <c r="C10" s="26">
        <v>9609676</v>
      </c>
      <c r="D10" s="26"/>
      <c r="E10" s="26">
        <v>30760539</v>
      </c>
      <c r="F10" s="26"/>
      <c r="G10" s="26">
        <v>1402546</v>
      </c>
      <c r="H10" s="26"/>
      <c r="I10" s="26">
        <f>5146398+5742866+1746925</f>
        <v>12636189</v>
      </c>
      <c r="J10" s="26"/>
      <c r="K10" s="26">
        <v>14452886</v>
      </c>
      <c r="L10" s="26"/>
      <c r="M10" s="26">
        <v>0</v>
      </c>
      <c r="N10" s="26"/>
      <c r="O10" s="26">
        <v>4342274</v>
      </c>
      <c r="P10" s="26"/>
      <c r="Q10" s="26">
        <v>2602146</v>
      </c>
      <c r="R10" s="26"/>
      <c r="S10" s="26">
        <f>4193296+332000-214129</f>
        <v>4311167</v>
      </c>
      <c r="T10" s="26"/>
      <c r="U10" s="26">
        <v>115688</v>
      </c>
      <c r="V10" s="26"/>
      <c r="W10" s="26">
        <f>SUM(I10:U10)</f>
        <v>38460350</v>
      </c>
      <c r="X10" s="26"/>
      <c r="Y10" s="26">
        <f>SUM(B10:V10)</f>
        <v>80233111</v>
      </c>
    </row>
    <row r="11" spans="1:25" ht="12.75">
      <c r="A11" s="4" t="s">
        <v>14</v>
      </c>
      <c r="B11" s="4"/>
      <c r="C11" s="5">
        <v>4264020</v>
      </c>
      <c r="D11" s="5"/>
      <c r="E11" s="5">
        <v>16021094</v>
      </c>
      <c r="F11" s="5"/>
      <c r="G11" s="5">
        <v>303572</v>
      </c>
      <c r="H11" s="5"/>
      <c r="I11" s="5">
        <f>2247239+725852+3519463</f>
        <v>6492554</v>
      </c>
      <c r="J11" s="5"/>
      <c r="K11" s="5">
        <f>4899882+824496+400200</f>
        <v>6124578</v>
      </c>
      <c r="L11" s="5"/>
      <c r="M11" s="5">
        <v>4445</v>
      </c>
      <c r="N11" s="5"/>
      <c r="O11" s="5">
        <v>2164338</v>
      </c>
      <c r="P11" s="5"/>
      <c r="Q11" s="5">
        <v>989323</v>
      </c>
      <c r="R11" s="5"/>
      <c r="S11" s="5">
        <v>1166506</v>
      </c>
      <c r="T11" s="5"/>
      <c r="U11" s="5">
        <v>-425000</v>
      </c>
      <c r="V11" s="5"/>
      <c r="W11" s="5">
        <f aca="true" t="shared" si="0" ref="W11:W27">SUM(I11:U11)</f>
        <v>16516744</v>
      </c>
      <c r="X11" s="5"/>
      <c r="Y11" s="5">
        <f aca="true" t="shared" si="1" ref="Y11:Y27">SUM(B11:V11)</f>
        <v>37105430</v>
      </c>
    </row>
    <row r="12" spans="1:25" ht="12.75">
      <c r="A12" s="4" t="s">
        <v>15</v>
      </c>
      <c r="B12" s="4"/>
      <c r="C12" s="5">
        <v>12094285</v>
      </c>
      <c r="D12" s="5"/>
      <c r="E12" s="5">
        <v>56367261</v>
      </c>
      <c r="F12" s="5"/>
      <c r="G12" s="5">
        <v>0</v>
      </c>
      <c r="H12" s="5"/>
      <c r="I12" s="5">
        <f>4952450+7444463+3486309+16467+893703</f>
        <v>16793392</v>
      </c>
      <c r="J12" s="5"/>
      <c r="K12" s="5">
        <v>8649600</v>
      </c>
      <c r="L12" s="5"/>
      <c r="M12" s="5">
        <v>0</v>
      </c>
      <c r="N12" s="5"/>
      <c r="O12" s="5">
        <v>6963303</v>
      </c>
      <c r="P12" s="5"/>
      <c r="Q12" s="5">
        <v>2837085</v>
      </c>
      <c r="R12" s="5"/>
      <c r="S12" s="5">
        <f>814538+150358</f>
        <v>964896</v>
      </c>
      <c r="T12" s="5"/>
      <c r="U12" s="5">
        <v>-2276438</v>
      </c>
      <c r="V12" s="5"/>
      <c r="W12" s="5">
        <f>SUM(I12:U12)</f>
        <v>33931838</v>
      </c>
      <c r="X12" s="5"/>
      <c r="Y12" s="5">
        <f t="shared" si="1"/>
        <v>102393384</v>
      </c>
    </row>
    <row r="13" spans="1:25" ht="12.75">
      <c r="A13" s="4" t="s">
        <v>16</v>
      </c>
      <c r="B13" s="4"/>
      <c r="C13" s="5">
        <v>5013735</v>
      </c>
      <c r="D13" s="5"/>
      <c r="E13" s="5">
        <v>25936825</v>
      </c>
      <c r="F13" s="5"/>
      <c r="G13" s="5">
        <v>360000</v>
      </c>
      <c r="H13" s="5"/>
      <c r="I13" s="5">
        <f>1707035+3285661+4159084+1492876+610579</f>
        <v>11255235</v>
      </c>
      <c r="J13" s="5"/>
      <c r="K13" s="5">
        <f>4796329+1198886</f>
        <v>5995215</v>
      </c>
      <c r="L13" s="5"/>
      <c r="M13" s="5">
        <v>0</v>
      </c>
      <c r="N13" s="5"/>
      <c r="O13" s="5">
        <v>1805094</v>
      </c>
      <c r="P13" s="5"/>
      <c r="Q13" s="5">
        <v>1297166</v>
      </c>
      <c r="R13" s="5"/>
      <c r="S13" s="5">
        <f>1459563+1494405</f>
        <v>2953968</v>
      </c>
      <c r="T13" s="5"/>
      <c r="U13" s="5">
        <v>0</v>
      </c>
      <c r="V13" s="5"/>
      <c r="W13" s="5">
        <f t="shared" si="0"/>
        <v>23306678</v>
      </c>
      <c r="X13" s="5"/>
      <c r="Y13" s="5">
        <f t="shared" si="1"/>
        <v>54617238</v>
      </c>
    </row>
    <row r="14" spans="1:25" ht="12.75">
      <c r="A14" s="4" t="s">
        <v>17</v>
      </c>
      <c r="B14" s="4"/>
      <c r="C14" s="5">
        <v>5633825</v>
      </c>
      <c r="D14" s="5"/>
      <c r="E14" s="5">
        <v>7461579</v>
      </c>
      <c r="F14" s="5"/>
      <c r="G14" s="5">
        <v>730650</v>
      </c>
      <c r="H14" s="5"/>
      <c r="I14" s="5">
        <f>2186384+4334377</f>
        <v>6520761</v>
      </c>
      <c r="J14" s="5"/>
      <c r="K14" s="5">
        <f>4322104+1026216+1768225</f>
        <v>7116545</v>
      </c>
      <c r="L14" s="5"/>
      <c r="M14" s="5">
        <v>0</v>
      </c>
      <c r="N14" s="5"/>
      <c r="O14" s="5">
        <v>915599</v>
      </c>
      <c r="P14" s="5"/>
      <c r="Q14" s="5">
        <v>960797</v>
      </c>
      <c r="R14" s="5"/>
      <c r="S14" s="5">
        <f>692083-117660</f>
        <v>574423</v>
      </c>
      <c r="T14" s="5"/>
      <c r="U14" s="5">
        <v>0</v>
      </c>
      <c r="V14" s="5"/>
      <c r="W14" s="5">
        <f t="shared" si="0"/>
        <v>16088125</v>
      </c>
      <c r="X14" s="5"/>
      <c r="Y14" s="5">
        <f t="shared" si="1"/>
        <v>29914179</v>
      </c>
    </row>
    <row r="15" spans="1:25" ht="12.75">
      <c r="A15" s="4" t="s">
        <v>18</v>
      </c>
      <c r="B15" s="4"/>
      <c r="C15" s="5">
        <v>7501371</v>
      </c>
      <c r="D15" s="5"/>
      <c r="E15" s="5">
        <v>28268762</v>
      </c>
      <c r="F15" s="5"/>
      <c r="G15" s="5">
        <v>891109</v>
      </c>
      <c r="H15" s="5"/>
      <c r="I15" s="5">
        <f>1972145+4465814+316927+796177+1278186+378659</f>
        <v>9207908</v>
      </c>
      <c r="J15" s="5"/>
      <c r="K15" s="5">
        <f>11306530+250000</f>
        <v>11556530</v>
      </c>
      <c r="L15" s="5"/>
      <c r="M15" s="5">
        <v>0</v>
      </c>
      <c r="N15" s="5"/>
      <c r="O15" s="5">
        <v>942746</v>
      </c>
      <c r="P15" s="5"/>
      <c r="Q15" s="5">
        <v>2286422</v>
      </c>
      <c r="R15" s="5"/>
      <c r="S15" s="5">
        <v>789951</v>
      </c>
      <c r="T15" s="5"/>
      <c r="U15" s="5">
        <v>-62724</v>
      </c>
      <c r="V15" s="5"/>
      <c r="W15" s="5">
        <f t="shared" si="0"/>
        <v>24720833</v>
      </c>
      <c r="X15" s="5"/>
      <c r="Y15" s="5">
        <f t="shared" si="1"/>
        <v>61382075</v>
      </c>
    </row>
    <row r="16" spans="1:25" ht="12.75" hidden="1">
      <c r="A16" s="4" t="s">
        <v>254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f t="shared" si="0"/>
        <v>0</v>
      </c>
      <c r="X16" s="5"/>
      <c r="Y16" s="5">
        <f t="shared" si="1"/>
        <v>0</v>
      </c>
    </row>
    <row r="17" spans="1:25" ht="12.75">
      <c r="A17" s="4" t="s">
        <v>252</v>
      </c>
      <c r="B17" s="4"/>
      <c r="C17" s="5">
        <v>53024669</v>
      </c>
      <c r="D17" s="5"/>
      <c r="E17" s="5">
        <v>104749030</v>
      </c>
      <c r="F17" s="5"/>
      <c r="G17" s="5">
        <v>12307138</v>
      </c>
      <c r="H17" s="5"/>
      <c r="I17" s="5">
        <f>14737266+20014999+14283235+2239541+13973467+29997</f>
        <v>65278505</v>
      </c>
      <c r="J17" s="5"/>
      <c r="K17" s="5">
        <v>40662394</v>
      </c>
      <c r="L17" s="5"/>
      <c r="M17" s="5">
        <v>0</v>
      </c>
      <c r="N17" s="5"/>
      <c r="O17" s="5">
        <v>6276571</v>
      </c>
      <c r="P17" s="5"/>
      <c r="Q17" s="5">
        <v>9258342</v>
      </c>
      <c r="R17" s="5"/>
      <c r="S17" s="5">
        <f>861416+3277088+93487</f>
        <v>4231991</v>
      </c>
      <c r="T17" s="5"/>
      <c r="U17" s="5">
        <v>0</v>
      </c>
      <c r="V17" s="5"/>
      <c r="W17" s="5">
        <f>SUM(I17:U17)</f>
        <v>125707803</v>
      </c>
      <c r="X17" s="5"/>
      <c r="Y17" s="5">
        <f t="shared" si="1"/>
        <v>295788640</v>
      </c>
    </row>
    <row r="18" spans="1:25" ht="12.75">
      <c r="A18" s="4" t="s">
        <v>20</v>
      </c>
      <c r="B18" s="4"/>
      <c r="C18" s="5">
        <v>2787688</v>
      </c>
      <c r="D18" s="5"/>
      <c r="E18" s="5">
        <v>11110322</v>
      </c>
      <c r="F18" s="5"/>
      <c r="G18" s="5">
        <v>0</v>
      </c>
      <c r="H18" s="5"/>
      <c r="I18" s="5">
        <f>1537925+1975364+252834+611149</f>
        <v>4377272</v>
      </c>
      <c r="J18" s="5"/>
      <c r="K18" s="5">
        <v>1603847</v>
      </c>
      <c r="L18" s="5"/>
      <c r="M18" s="5">
        <v>0</v>
      </c>
      <c r="N18" s="5"/>
      <c r="O18" s="5">
        <v>1396733</v>
      </c>
      <c r="P18" s="5"/>
      <c r="Q18" s="5">
        <v>469568</v>
      </c>
      <c r="R18" s="5"/>
      <c r="S18" s="5">
        <v>1581940</v>
      </c>
      <c r="T18" s="5"/>
      <c r="U18" s="5">
        <v>-22043</v>
      </c>
      <c r="V18" s="5"/>
      <c r="W18" s="5">
        <f t="shared" si="0"/>
        <v>9407317</v>
      </c>
      <c r="X18" s="5"/>
      <c r="Y18" s="5">
        <f t="shared" si="1"/>
        <v>23305327</v>
      </c>
    </row>
    <row r="19" spans="1:25" ht="12.75" hidden="1">
      <c r="A19" s="4" t="s">
        <v>173</v>
      </c>
      <c r="B19" s="4"/>
      <c r="C19" s="5">
        <v>0</v>
      </c>
      <c r="D19" s="5"/>
      <c r="E19" s="5">
        <v>0</v>
      </c>
      <c r="F19" s="5"/>
      <c r="G19" s="5">
        <v>0</v>
      </c>
      <c r="H19" s="5"/>
      <c r="I19" s="5">
        <v>0</v>
      </c>
      <c r="J19" s="5"/>
      <c r="K19" s="5">
        <v>0</v>
      </c>
      <c r="L19" s="5"/>
      <c r="M19" s="5">
        <v>0</v>
      </c>
      <c r="N19" s="5"/>
      <c r="O19" s="5">
        <v>0</v>
      </c>
      <c r="P19" s="5"/>
      <c r="Q19" s="5">
        <v>0</v>
      </c>
      <c r="R19" s="5"/>
      <c r="S19" s="5">
        <v>0</v>
      </c>
      <c r="T19" s="5"/>
      <c r="U19" s="5">
        <v>0</v>
      </c>
      <c r="V19" s="5"/>
      <c r="W19" s="5">
        <f t="shared" si="0"/>
        <v>0</v>
      </c>
      <c r="X19" s="5"/>
      <c r="Y19" s="5">
        <f t="shared" si="1"/>
        <v>0</v>
      </c>
    </row>
    <row r="20" spans="1:25" ht="12.75">
      <c r="A20" s="4" t="s">
        <v>21</v>
      </c>
      <c r="B20" s="4"/>
      <c r="C20" s="5">
        <v>20974512</v>
      </c>
      <c r="D20" s="5"/>
      <c r="E20" s="5">
        <v>56365047</v>
      </c>
      <c r="F20" s="5"/>
      <c r="G20" s="5">
        <v>637470</v>
      </c>
      <c r="H20" s="5"/>
      <c r="I20" s="5">
        <f>3813396+2829089+10832753+2003973</f>
        <v>19479211</v>
      </c>
      <c r="J20" s="5"/>
      <c r="K20" s="5">
        <v>19876833</v>
      </c>
      <c r="L20" s="5"/>
      <c r="M20" s="5">
        <v>0</v>
      </c>
      <c r="N20" s="5"/>
      <c r="O20" s="5">
        <v>3172719</v>
      </c>
      <c r="P20" s="5"/>
      <c r="Q20" s="5">
        <v>3496171</v>
      </c>
      <c r="R20" s="5"/>
      <c r="S20" s="5">
        <v>2877115</v>
      </c>
      <c r="T20" s="5"/>
      <c r="U20" s="5">
        <v>0</v>
      </c>
      <c r="V20" s="5"/>
      <c r="W20" s="5">
        <f t="shared" si="0"/>
        <v>48902049</v>
      </c>
      <c r="X20" s="5"/>
      <c r="Y20" s="5">
        <f t="shared" si="1"/>
        <v>126879078</v>
      </c>
    </row>
    <row r="21" spans="1:25" ht="12.75">
      <c r="A21" s="4" t="s">
        <v>184</v>
      </c>
      <c r="B21" s="4"/>
      <c r="C21" s="5">
        <v>25849654</v>
      </c>
      <c r="D21" s="5"/>
      <c r="E21" s="5">
        <v>33596918</v>
      </c>
      <c r="F21" s="5"/>
      <c r="G21" s="5">
        <v>6518043</v>
      </c>
      <c r="H21" s="5"/>
      <c r="I21" s="5">
        <f>8175916+6247859+3885926</f>
        <v>18309701</v>
      </c>
      <c r="J21" s="5"/>
      <c r="K21" s="5">
        <v>23125953</v>
      </c>
      <c r="L21" s="5"/>
      <c r="M21" s="5">
        <v>494703</v>
      </c>
      <c r="N21" s="5"/>
      <c r="O21" s="5">
        <v>6158505</v>
      </c>
      <c r="P21" s="5"/>
      <c r="Q21" s="5">
        <v>4842197</v>
      </c>
      <c r="R21" s="5"/>
      <c r="S21" s="5">
        <v>138597</v>
      </c>
      <c r="T21" s="5"/>
      <c r="U21" s="5">
        <v>-671872</v>
      </c>
      <c r="V21" s="5"/>
      <c r="W21" s="5">
        <f t="shared" si="0"/>
        <v>52397784</v>
      </c>
      <c r="X21" s="5"/>
      <c r="Y21" s="5">
        <f t="shared" si="1"/>
        <v>118362399</v>
      </c>
    </row>
    <row r="22" spans="1:25" ht="12.75">
      <c r="A22" s="4" t="s">
        <v>22</v>
      </c>
      <c r="B22" s="4"/>
      <c r="C22" s="5">
        <v>6056949</v>
      </c>
      <c r="D22" s="5"/>
      <c r="E22" s="5">
        <v>13990896</v>
      </c>
      <c r="F22" s="5"/>
      <c r="G22" s="5">
        <v>764195</v>
      </c>
      <c r="H22" s="5"/>
      <c r="I22" s="5">
        <f>1835321+372641+1858281+1144273+81335+127210+455988</f>
        <v>5875049</v>
      </c>
      <c r="J22" s="5"/>
      <c r="K22" s="5">
        <v>7701525</v>
      </c>
      <c r="L22" s="5"/>
      <c r="M22" s="5">
        <v>0</v>
      </c>
      <c r="N22" s="5"/>
      <c r="O22" s="5">
        <v>1548977</v>
      </c>
      <c r="P22" s="5"/>
      <c r="Q22" s="5">
        <v>823298</v>
      </c>
      <c r="R22" s="5"/>
      <c r="S22" s="5">
        <v>1743551</v>
      </c>
      <c r="T22" s="5"/>
      <c r="U22" s="5">
        <v>0</v>
      </c>
      <c r="V22" s="5"/>
      <c r="W22" s="5">
        <f t="shared" si="0"/>
        <v>17692400</v>
      </c>
      <c r="X22" s="5"/>
      <c r="Y22" s="5">
        <f t="shared" si="1"/>
        <v>38504440</v>
      </c>
    </row>
    <row r="23" spans="1:25" ht="12.75" hidden="1">
      <c r="A23" s="4" t="s">
        <v>23</v>
      </c>
      <c r="B23" s="4"/>
      <c r="C23" s="5">
        <v>0</v>
      </c>
      <c r="D23" s="5"/>
      <c r="E23" s="5">
        <v>0</v>
      </c>
      <c r="F23" s="5"/>
      <c r="G23" s="5">
        <v>0</v>
      </c>
      <c r="H23" s="5"/>
      <c r="I23" s="5">
        <v>0</v>
      </c>
      <c r="J23" s="5"/>
      <c r="K23" s="5">
        <v>0</v>
      </c>
      <c r="L23" s="5"/>
      <c r="M23" s="5">
        <v>0</v>
      </c>
      <c r="N23" s="5"/>
      <c r="O23" s="5">
        <v>0</v>
      </c>
      <c r="P23" s="5"/>
      <c r="Q23" s="5">
        <v>0</v>
      </c>
      <c r="R23" s="5"/>
      <c r="S23" s="5">
        <v>0</v>
      </c>
      <c r="T23" s="5"/>
      <c r="U23" s="5">
        <v>0</v>
      </c>
      <c r="V23" s="5"/>
      <c r="W23" s="5">
        <f t="shared" si="0"/>
        <v>0</v>
      </c>
      <c r="X23" s="5"/>
      <c r="Y23" s="5">
        <f t="shared" si="1"/>
        <v>0</v>
      </c>
    </row>
    <row r="24" spans="1:25" ht="12.75">
      <c r="A24" s="4" t="s">
        <v>24</v>
      </c>
      <c r="B24" s="4"/>
      <c r="C24" s="5">
        <v>2566716</v>
      </c>
      <c r="D24" s="5"/>
      <c r="E24" s="5">
        <v>17784111</v>
      </c>
      <c r="F24" s="5"/>
      <c r="G24" s="5">
        <v>0</v>
      </c>
      <c r="H24" s="5"/>
      <c r="I24" s="5">
        <f>1259700+3608174+542980+275352</f>
        <v>5686206</v>
      </c>
      <c r="J24" s="5"/>
      <c r="K24" s="5">
        <v>4171550</v>
      </c>
      <c r="L24" s="5"/>
      <c r="M24" s="5">
        <v>0</v>
      </c>
      <c r="N24" s="5"/>
      <c r="O24" s="5">
        <v>837540</v>
      </c>
      <c r="P24" s="5"/>
      <c r="Q24" s="5">
        <v>781660</v>
      </c>
      <c r="R24" s="5"/>
      <c r="S24" s="5">
        <v>841502</v>
      </c>
      <c r="T24" s="5"/>
      <c r="U24" s="5">
        <v>0</v>
      </c>
      <c r="V24" s="5"/>
      <c r="W24" s="5">
        <f t="shared" si="0"/>
        <v>12318458</v>
      </c>
      <c r="X24" s="5"/>
      <c r="Y24" s="5">
        <f t="shared" si="1"/>
        <v>32669285</v>
      </c>
    </row>
    <row r="25" spans="1:25" ht="12.75">
      <c r="A25" s="4" t="s">
        <v>257</v>
      </c>
      <c r="B25" s="4"/>
      <c r="C25" s="5">
        <v>7359713</v>
      </c>
      <c r="D25" s="5"/>
      <c r="E25" s="5">
        <v>13733079</v>
      </c>
      <c r="F25" s="5"/>
      <c r="G25" s="5">
        <v>108799</v>
      </c>
      <c r="H25" s="5"/>
      <c r="I25" s="5">
        <f>1389967+435237+2190253+237773+492467+375454</f>
        <v>5121151</v>
      </c>
      <c r="J25" s="5"/>
      <c r="K25" s="5">
        <f>3271872+1270453+365280</f>
        <v>4907605</v>
      </c>
      <c r="L25" s="5"/>
      <c r="M25" s="5">
        <v>0</v>
      </c>
      <c r="N25" s="5"/>
      <c r="O25" s="5">
        <v>1517968</v>
      </c>
      <c r="P25" s="5"/>
      <c r="Q25" s="5">
        <v>853929</v>
      </c>
      <c r="R25" s="5"/>
      <c r="S25" s="5">
        <v>860297</v>
      </c>
      <c r="T25" s="5"/>
      <c r="U25" s="5">
        <v>68386</v>
      </c>
      <c r="V25" s="5"/>
      <c r="W25" s="5">
        <f t="shared" si="0"/>
        <v>13329336</v>
      </c>
      <c r="X25" s="5"/>
      <c r="Y25" s="5">
        <f t="shared" si="1"/>
        <v>34530927</v>
      </c>
    </row>
    <row r="26" spans="1:25" ht="12.75">
      <c r="A26" s="4" t="s">
        <v>25</v>
      </c>
      <c r="B26" s="4"/>
      <c r="C26" s="5">
        <v>103646000</v>
      </c>
      <c r="D26" s="5"/>
      <c r="E26" s="5">
        <v>621751000</v>
      </c>
      <c r="F26" s="5"/>
      <c r="G26" s="5">
        <v>32478000</v>
      </c>
      <c r="H26" s="5"/>
      <c r="I26" s="5">
        <f>337783000</f>
        <v>337783000</v>
      </c>
      <c r="J26" s="5"/>
      <c r="K26" s="5">
        <v>170509000</v>
      </c>
      <c r="L26" s="5"/>
      <c r="M26" s="5">
        <v>27774000</v>
      </c>
      <c r="N26" s="5"/>
      <c r="O26" s="5">
        <f>38191000+42429000</f>
        <v>80620000</v>
      </c>
      <c r="P26" s="5"/>
      <c r="Q26" s="5">
        <v>35534000</v>
      </c>
      <c r="R26" s="5"/>
      <c r="S26" s="5">
        <v>10644000</v>
      </c>
      <c r="T26" s="5"/>
      <c r="U26" s="5">
        <v>-1716000</v>
      </c>
      <c r="V26" s="5"/>
      <c r="W26" s="5">
        <f t="shared" si="0"/>
        <v>661148000</v>
      </c>
      <c r="X26" s="5"/>
      <c r="Y26" s="5">
        <f t="shared" si="1"/>
        <v>1419023000</v>
      </c>
    </row>
    <row r="27" spans="1:25" ht="12.75">
      <c r="A27" s="4" t="s">
        <v>26</v>
      </c>
      <c r="B27" s="4"/>
      <c r="C27" s="5">
        <v>4561248</v>
      </c>
      <c r="D27" s="5"/>
      <c r="E27" s="5">
        <v>13002668</v>
      </c>
      <c r="F27" s="5"/>
      <c r="G27" s="5">
        <v>0</v>
      </c>
      <c r="H27" s="5"/>
      <c r="I27" s="5">
        <f>2518258+2646116</f>
        <v>5164374</v>
      </c>
      <c r="J27" s="5"/>
      <c r="K27" s="5">
        <v>6799401</v>
      </c>
      <c r="L27" s="5"/>
      <c r="M27" s="5">
        <v>0</v>
      </c>
      <c r="N27" s="5"/>
      <c r="O27" s="5">
        <v>1744130</v>
      </c>
      <c r="P27" s="5"/>
      <c r="Q27" s="5">
        <v>972671</v>
      </c>
      <c r="R27" s="5"/>
      <c r="S27" s="5">
        <v>1221403</v>
      </c>
      <c r="T27" s="5"/>
      <c r="U27" s="5">
        <v>-11410</v>
      </c>
      <c r="V27" s="5"/>
      <c r="W27" s="5">
        <f t="shared" si="0"/>
        <v>15890569</v>
      </c>
      <c r="X27" s="5"/>
      <c r="Y27" s="5">
        <f t="shared" si="1"/>
        <v>33454485</v>
      </c>
    </row>
    <row r="28" spans="1:25" ht="12.75">
      <c r="A28" s="4" t="s">
        <v>27</v>
      </c>
      <c r="B28" s="4"/>
      <c r="C28" s="5">
        <v>4863302</v>
      </c>
      <c r="D28" s="5"/>
      <c r="E28" s="5">
        <v>12478940</v>
      </c>
      <c r="F28" s="5"/>
      <c r="G28" s="5">
        <v>680546</v>
      </c>
      <c r="H28" s="5"/>
      <c r="I28" s="5">
        <f>1819126+731665+2009082+771097</f>
        <v>5330970</v>
      </c>
      <c r="J28" s="5"/>
      <c r="K28" s="5">
        <v>4546017</v>
      </c>
      <c r="L28" s="5"/>
      <c r="M28" s="5">
        <v>0</v>
      </c>
      <c r="N28" s="5"/>
      <c r="O28" s="5">
        <f>1198763+2519463</f>
        <v>3718226</v>
      </c>
      <c r="P28" s="5"/>
      <c r="Q28" s="5">
        <v>2365093</v>
      </c>
      <c r="R28" s="5"/>
      <c r="S28" s="5">
        <v>2296490</v>
      </c>
      <c r="T28" s="5"/>
      <c r="U28" s="5">
        <v>-149095</v>
      </c>
      <c r="V28" s="5"/>
      <c r="W28" s="5">
        <f aca="true" t="shared" si="2" ref="W28:W43">SUM(I28:U28)</f>
        <v>18107701</v>
      </c>
      <c r="X28" s="5"/>
      <c r="Y28" s="5">
        <f aca="true" t="shared" si="3" ref="Y28:Y74">SUM(B28:V28)</f>
        <v>36130489</v>
      </c>
    </row>
    <row r="29" spans="1:25" ht="12.75">
      <c r="A29" s="4" t="s">
        <v>28</v>
      </c>
      <c r="B29" s="4"/>
      <c r="C29" s="5">
        <v>20624424</v>
      </c>
      <c r="D29" s="5"/>
      <c r="E29" s="5">
        <v>23904471</v>
      </c>
      <c r="F29" s="5"/>
      <c r="G29" s="5">
        <v>954345</v>
      </c>
      <c r="H29" s="5"/>
      <c r="I29" s="5">
        <f>6362605+1090770+8294224+1439313</f>
        <v>17186912</v>
      </c>
      <c r="J29" s="5"/>
      <c r="K29" s="5">
        <f>20256768+13505449</f>
        <v>33762217</v>
      </c>
      <c r="L29" s="5"/>
      <c r="M29" s="5">
        <v>62360</v>
      </c>
      <c r="N29" s="5"/>
      <c r="O29" s="5">
        <v>3719465</v>
      </c>
      <c r="P29" s="5"/>
      <c r="Q29" s="5">
        <v>8520449</v>
      </c>
      <c r="R29" s="5"/>
      <c r="S29" s="5">
        <v>1054426</v>
      </c>
      <c r="T29" s="5"/>
      <c r="U29" s="5">
        <v>-60000</v>
      </c>
      <c r="V29" s="5"/>
      <c r="W29" s="5">
        <f t="shared" si="2"/>
        <v>64245829</v>
      </c>
      <c r="X29" s="5"/>
      <c r="Y29" s="5">
        <f t="shared" si="3"/>
        <v>109729069</v>
      </c>
    </row>
    <row r="30" spans="1:25" ht="12.75">
      <c r="A30" s="4" t="s">
        <v>29</v>
      </c>
      <c r="B30" s="4"/>
      <c r="C30" s="5">
        <v>9426825</v>
      </c>
      <c r="D30" s="5"/>
      <c r="E30" s="5">
        <v>24958834</v>
      </c>
      <c r="F30" s="5"/>
      <c r="G30" s="5">
        <v>0</v>
      </c>
      <c r="H30" s="5"/>
      <c r="I30" s="5">
        <f>5664832+4782238+790739</f>
        <v>11237809</v>
      </c>
      <c r="J30" s="5"/>
      <c r="K30" s="5">
        <v>14173097</v>
      </c>
      <c r="L30" s="5"/>
      <c r="M30" s="5">
        <v>0</v>
      </c>
      <c r="N30" s="5"/>
      <c r="O30" s="5">
        <v>2399031</v>
      </c>
      <c r="P30" s="5"/>
      <c r="Q30" s="5">
        <v>2589340</v>
      </c>
      <c r="R30" s="5"/>
      <c r="S30" s="5">
        <v>1031370</v>
      </c>
      <c r="T30" s="5"/>
      <c r="U30" s="5">
        <v>-197764</v>
      </c>
      <c r="V30" s="5"/>
      <c r="W30" s="5">
        <f t="shared" si="2"/>
        <v>31232883</v>
      </c>
      <c r="X30" s="5"/>
      <c r="Y30" s="5">
        <f t="shared" si="3"/>
        <v>65618542</v>
      </c>
    </row>
    <row r="31" spans="1:25" ht="12.75">
      <c r="A31" s="4" t="s">
        <v>30</v>
      </c>
      <c r="B31" s="4"/>
      <c r="C31" s="5">
        <v>15909609</v>
      </c>
      <c r="D31" s="5"/>
      <c r="E31" s="5">
        <v>36986032</v>
      </c>
      <c r="F31" s="5"/>
      <c r="G31" s="5">
        <v>23583568</v>
      </c>
      <c r="H31" s="5"/>
      <c r="I31" s="5">
        <f>7056521+1247649+10079390+1258335</f>
        <v>19641895</v>
      </c>
      <c r="J31" s="5"/>
      <c r="K31" s="5">
        <v>11011732</v>
      </c>
      <c r="L31" s="5"/>
      <c r="M31" s="5">
        <f>2244349+158343</f>
        <v>2402692</v>
      </c>
      <c r="N31" s="5"/>
      <c r="O31" s="5">
        <v>3494400</v>
      </c>
      <c r="P31" s="5"/>
      <c r="Q31" s="5">
        <v>3120995</v>
      </c>
      <c r="R31" s="5"/>
      <c r="S31" s="5">
        <v>629269</v>
      </c>
      <c r="T31" s="5"/>
      <c r="U31" s="5">
        <v>43000</v>
      </c>
      <c r="V31" s="5"/>
      <c r="W31" s="5">
        <f t="shared" si="2"/>
        <v>40343983</v>
      </c>
      <c r="X31" s="5"/>
      <c r="Y31" s="5">
        <f t="shared" si="3"/>
        <v>116823192</v>
      </c>
    </row>
    <row r="32" spans="1:25" ht="12.75" hidden="1">
      <c r="A32" s="4" t="s">
        <v>253</v>
      </c>
      <c r="B32" s="4"/>
      <c r="C32" s="5">
        <v>0</v>
      </c>
      <c r="D32" s="5"/>
      <c r="E32" s="5">
        <v>0</v>
      </c>
      <c r="F32" s="5"/>
      <c r="G32" s="5">
        <v>0</v>
      </c>
      <c r="H32" s="5"/>
      <c r="I32" s="5">
        <v>0</v>
      </c>
      <c r="J32" s="5"/>
      <c r="K32" s="5">
        <v>0</v>
      </c>
      <c r="L32" s="5"/>
      <c r="M32" s="5">
        <v>0</v>
      </c>
      <c r="N32" s="5"/>
      <c r="O32" s="5">
        <v>0</v>
      </c>
      <c r="P32" s="5"/>
      <c r="Q32" s="5">
        <v>0</v>
      </c>
      <c r="R32" s="5"/>
      <c r="S32" s="5">
        <v>0</v>
      </c>
      <c r="T32" s="5"/>
      <c r="U32" s="5">
        <v>0</v>
      </c>
      <c r="V32" s="5"/>
      <c r="W32" s="5">
        <f t="shared" si="2"/>
        <v>0</v>
      </c>
      <c r="X32" s="5"/>
      <c r="Y32" s="5">
        <f t="shared" si="3"/>
        <v>0</v>
      </c>
    </row>
    <row r="33" spans="1:25" ht="12.75">
      <c r="A33" s="4" t="s">
        <v>32</v>
      </c>
      <c r="B33" s="4"/>
      <c r="C33" s="5">
        <v>118689000</v>
      </c>
      <c r="D33" s="5"/>
      <c r="E33" s="5">
        <v>361153000</v>
      </c>
      <c r="F33" s="5"/>
      <c r="G33" s="5">
        <v>14839000</v>
      </c>
      <c r="H33" s="5"/>
      <c r="I33" s="5">
        <v>360173000</v>
      </c>
      <c r="J33" s="5"/>
      <c r="K33" s="5">
        <v>175343000</v>
      </c>
      <c r="L33" s="5"/>
      <c r="M33" s="5">
        <v>0</v>
      </c>
      <c r="N33" s="5"/>
      <c r="O33" s="5">
        <v>72791000</v>
      </c>
      <c r="P33" s="5"/>
      <c r="Q33" s="5">
        <v>36489000</v>
      </c>
      <c r="R33" s="5"/>
      <c r="S33" s="5">
        <v>0</v>
      </c>
      <c r="T33" s="5"/>
      <c r="U33" s="5">
        <v>0</v>
      </c>
      <c r="V33" s="5"/>
      <c r="W33" s="5">
        <f t="shared" si="2"/>
        <v>644796000</v>
      </c>
      <c r="X33" s="5"/>
      <c r="Y33" s="5">
        <f>SUM(B33:V33)</f>
        <v>1139477000</v>
      </c>
    </row>
    <row r="34" spans="1:25" ht="12.75">
      <c r="A34" s="4" t="s">
        <v>33</v>
      </c>
      <c r="B34" s="4"/>
      <c r="C34" s="5">
        <v>5415736</v>
      </c>
      <c r="D34" s="5"/>
      <c r="E34" s="5">
        <v>10846078</v>
      </c>
      <c r="F34" s="5"/>
      <c r="G34" s="5">
        <v>456254</v>
      </c>
      <c r="H34" s="5"/>
      <c r="I34" s="5">
        <f>1704167+3012099+862832+1474324+346286+364167</f>
        <v>7763875</v>
      </c>
      <c r="J34" s="5"/>
      <c r="K34" s="5">
        <v>4848137</v>
      </c>
      <c r="L34" s="5"/>
      <c r="M34" s="5">
        <v>0</v>
      </c>
      <c r="N34" s="5"/>
      <c r="O34" s="5">
        <v>2397773</v>
      </c>
      <c r="P34" s="5"/>
      <c r="Q34" s="5">
        <v>1216473</v>
      </c>
      <c r="R34" s="5"/>
      <c r="S34" s="5">
        <f>1088028+22915</f>
        <v>1110943</v>
      </c>
      <c r="T34" s="5"/>
      <c r="U34" s="5">
        <v>-913602</v>
      </c>
      <c r="V34" s="5"/>
      <c r="W34" s="5">
        <f t="shared" si="2"/>
        <v>16423599</v>
      </c>
      <c r="X34" s="5"/>
      <c r="Y34" s="5">
        <f>SUM(B34:V34)</f>
        <v>33141667</v>
      </c>
    </row>
    <row r="35" spans="1:25" ht="12.75">
      <c r="A35" s="4" t="s">
        <v>34</v>
      </c>
      <c r="B35" s="4"/>
      <c r="C35" s="5">
        <v>3093417</v>
      </c>
      <c r="D35" s="5"/>
      <c r="E35" s="5">
        <v>16572047</v>
      </c>
      <c r="F35" s="5"/>
      <c r="G35" s="5">
        <v>358064</v>
      </c>
      <c r="H35" s="5"/>
      <c r="I35" s="5">
        <f>1912135+921542</f>
        <v>2833677</v>
      </c>
      <c r="J35" s="5"/>
      <c r="K35" s="5">
        <f>3099354+774589</f>
        <v>3873943</v>
      </c>
      <c r="L35" s="5"/>
      <c r="M35" s="5">
        <v>0</v>
      </c>
      <c r="N35" s="5"/>
      <c r="O35" s="5">
        <v>1092701</v>
      </c>
      <c r="P35" s="5"/>
      <c r="Q35" s="5">
        <v>421578</v>
      </c>
      <c r="R35" s="5"/>
      <c r="S35" s="5">
        <v>914817</v>
      </c>
      <c r="T35" s="5"/>
      <c r="U35" s="5">
        <v>0</v>
      </c>
      <c r="V35" s="5"/>
      <c r="W35" s="5">
        <f t="shared" si="2"/>
        <v>9136716</v>
      </c>
      <c r="X35" s="5"/>
      <c r="Y35" s="5">
        <f t="shared" si="3"/>
        <v>29160244</v>
      </c>
    </row>
    <row r="36" spans="1:25" ht="12.75">
      <c r="A36" s="4" t="s">
        <v>35</v>
      </c>
      <c r="B36" s="4"/>
      <c r="C36" s="5">
        <v>7608632</v>
      </c>
      <c r="D36" s="5"/>
      <c r="E36" s="5">
        <v>29801906</v>
      </c>
      <c r="F36" s="5"/>
      <c r="G36" s="5">
        <v>2872800</v>
      </c>
      <c r="H36" s="5"/>
      <c r="I36" s="5">
        <f>6976765+1758560+1725057+2540732+8175303+4315359</f>
        <v>25491776</v>
      </c>
      <c r="J36" s="5"/>
      <c r="K36" s="5">
        <v>11129126</v>
      </c>
      <c r="L36" s="5"/>
      <c r="M36" s="5">
        <v>0</v>
      </c>
      <c r="N36" s="5"/>
      <c r="O36" s="5">
        <v>1693192</v>
      </c>
      <c r="P36" s="5"/>
      <c r="Q36" s="5">
        <v>3383183</v>
      </c>
      <c r="R36" s="5"/>
      <c r="S36" s="5">
        <v>2315572</v>
      </c>
      <c r="T36" s="5"/>
      <c r="U36" s="5">
        <v>-411302</v>
      </c>
      <c r="V36" s="5"/>
      <c r="W36" s="5">
        <f t="shared" si="2"/>
        <v>43601547</v>
      </c>
      <c r="X36" s="5"/>
      <c r="Y36" s="5">
        <f t="shared" si="3"/>
        <v>83884885</v>
      </c>
    </row>
    <row r="37" spans="1:25" ht="12.75">
      <c r="A37" s="4" t="s">
        <v>185</v>
      </c>
      <c r="B37" s="4"/>
      <c r="C37" s="5">
        <v>18545093</v>
      </c>
      <c r="D37" s="5"/>
      <c r="E37" s="5">
        <v>29985769</v>
      </c>
      <c r="F37" s="5"/>
      <c r="G37" s="5">
        <v>134274</v>
      </c>
      <c r="H37" s="5"/>
      <c r="I37" s="5">
        <f>5796631+632395+3690870+2883918+10093718+2890778+2307398+1829594</f>
        <v>30125302</v>
      </c>
      <c r="J37" s="5"/>
      <c r="K37" s="5">
        <v>20408305</v>
      </c>
      <c r="L37" s="5"/>
      <c r="M37" s="5">
        <v>782937</v>
      </c>
      <c r="N37" s="5"/>
      <c r="O37" s="5">
        <v>5026916</v>
      </c>
      <c r="P37" s="5"/>
      <c r="Q37" s="5">
        <v>4315400</v>
      </c>
      <c r="R37" s="5"/>
      <c r="S37" s="5">
        <v>5993148</v>
      </c>
      <c r="T37" s="5"/>
      <c r="U37" s="5">
        <v>-409585</v>
      </c>
      <c r="V37" s="5"/>
      <c r="W37" s="5">
        <f t="shared" si="2"/>
        <v>66242423</v>
      </c>
      <c r="X37" s="5"/>
      <c r="Y37" s="5">
        <f t="shared" si="3"/>
        <v>114907559</v>
      </c>
    </row>
    <row r="38" spans="1:25" ht="12.75" hidden="1">
      <c r="A38" s="4" t="s">
        <v>258</v>
      </c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>
        <f t="shared" si="2"/>
        <v>0</v>
      </c>
      <c r="X38" s="5"/>
      <c r="Y38" s="5">
        <f t="shared" si="3"/>
        <v>0</v>
      </c>
    </row>
    <row r="39" spans="1:25" ht="12.75" hidden="1">
      <c r="A39" s="4" t="s">
        <v>259</v>
      </c>
      <c r="B39" s="4"/>
      <c r="C39" s="5">
        <v>0</v>
      </c>
      <c r="D39" s="5"/>
      <c r="E39" s="5">
        <v>0</v>
      </c>
      <c r="F39" s="5"/>
      <c r="G39" s="5">
        <v>0</v>
      </c>
      <c r="H39" s="5"/>
      <c r="I39" s="5">
        <v>0</v>
      </c>
      <c r="J39" s="5"/>
      <c r="K39" s="5">
        <v>0</v>
      </c>
      <c r="L39" s="5"/>
      <c r="M39" s="5">
        <v>0</v>
      </c>
      <c r="N39" s="5"/>
      <c r="O39" s="5">
        <v>0</v>
      </c>
      <c r="P39" s="5"/>
      <c r="Q39" s="5">
        <v>0</v>
      </c>
      <c r="R39" s="5"/>
      <c r="S39" s="5">
        <v>0</v>
      </c>
      <c r="T39" s="5"/>
      <c r="U39" s="5">
        <v>0</v>
      </c>
      <c r="V39" s="5"/>
      <c r="W39" s="5">
        <f t="shared" si="2"/>
        <v>0</v>
      </c>
      <c r="X39" s="5"/>
      <c r="Y39" s="5">
        <f t="shared" si="3"/>
        <v>0</v>
      </c>
    </row>
    <row r="40" spans="1:25" ht="12.75">
      <c r="A40" s="4" t="s">
        <v>38</v>
      </c>
      <c r="B40" s="4"/>
      <c r="C40" s="5">
        <v>8390007</v>
      </c>
      <c r="D40" s="5"/>
      <c r="E40" s="5">
        <v>24378201</v>
      </c>
      <c r="F40" s="5"/>
      <c r="G40" s="5">
        <v>4053549</v>
      </c>
      <c r="H40" s="5"/>
      <c r="I40" s="5">
        <f>1761935+1371331+6157601+548553+402354</f>
        <v>10241774</v>
      </c>
      <c r="J40" s="5"/>
      <c r="K40" s="5">
        <v>5377752</v>
      </c>
      <c r="L40" s="5"/>
      <c r="M40" s="5">
        <v>1279749</v>
      </c>
      <c r="N40" s="5"/>
      <c r="O40" s="5">
        <v>2651737</v>
      </c>
      <c r="P40" s="5"/>
      <c r="Q40" s="5">
        <v>1594825</v>
      </c>
      <c r="R40" s="5"/>
      <c r="S40" s="5">
        <v>903636</v>
      </c>
      <c r="T40" s="5"/>
      <c r="U40" s="5">
        <v>0</v>
      </c>
      <c r="V40" s="5"/>
      <c r="W40" s="5">
        <f t="shared" si="2"/>
        <v>22049473</v>
      </c>
      <c r="X40" s="5"/>
      <c r="Y40" s="5">
        <f t="shared" si="3"/>
        <v>58871230</v>
      </c>
    </row>
    <row r="41" spans="1:25" ht="12.75" hidden="1">
      <c r="A41" s="4" t="s">
        <v>168</v>
      </c>
      <c r="B41" s="4"/>
      <c r="C41" s="5">
        <v>0</v>
      </c>
      <c r="D41" s="5"/>
      <c r="E41" s="5">
        <v>0</v>
      </c>
      <c r="F41" s="5"/>
      <c r="G41" s="5">
        <v>0</v>
      </c>
      <c r="H41" s="5"/>
      <c r="I41" s="5">
        <v>0</v>
      </c>
      <c r="J41" s="5"/>
      <c r="K41" s="5">
        <v>0</v>
      </c>
      <c r="L41" s="5"/>
      <c r="M41" s="5">
        <v>0</v>
      </c>
      <c r="N41" s="5"/>
      <c r="O41" s="5">
        <v>0</v>
      </c>
      <c r="P41" s="5"/>
      <c r="Q41" s="5">
        <v>0</v>
      </c>
      <c r="R41" s="5"/>
      <c r="S41" s="5">
        <v>0</v>
      </c>
      <c r="T41" s="5"/>
      <c r="U41" s="5">
        <v>0</v>
      </c>
      <c r="V41" s="5"/>
      <c r="W41" s="5">
        <f t="shared" si="2"/>
        <v>0</v>
      </c>
      <c r="X41" s="5"/>
      <c r="Y41" s="5">
        <f t="shared" si="3"/>
        <v>0</v>
      </c>
    </row>
    <row r="42" spans="1:25" ht="12.75" hidden="1">
      <c r="A42" s="4" t="s">
        <v>39</v>
      </c>
      <c r="B42" s="4"/>
      <c r="C42" s="5">
        <v>0</v>
      </c>
      <c r="D42" s="5"/>
      <c r="E42" s="5">
        <v>0</v>
      </c>
      <c r="F42" s="5"/>
      <c r="G42" s="5">
        <v>0</v>
      </c>
      <c r="H42" s="5"/>
      <c r="I42" s="5">
        <v>0</v>
      </c>
      <c r="J42" s="5"/>
      <c r="K42" s="5">
        <v>0</v>
      </c>
      <c r="L42" s="5"/>
      <c r="M42" s="5">
        <v>0</v>
      </c>
      <c r="N42" s="5"/>
      <c r="O42" s="5">
        <v>0</v>
      </c>
      <c r="P42" s="5"/>
      <c r="Q42" s="5">
        <v>0</v>
      </c>
      <c r="R42" s="5"/>
      <c r="S42" s="5">
        <v>0</v>
      </c>
      <c r="T42" s="5"/>
      <c r="U42" s="5">
        <v>0</v>
      </c>
      <c r="V42" s="5"/>
      <c r="W42" s="5">
        <f t="shared" si="2"/>
        <v>0</v>
      </c>
      <c r="X42" s="5"/>
      <c r="Y42" s="5">
        <f t="shared" si="3"/>
        <v>0</v>
      </c>
    </row>
    <row r="43" spans="1:25" ht="12.75">
      <c r="A43" s="4" t="s">
        <v>40</v>
      </c>
      <c r="B43" s="4"/>
      <c r="C43" s="5">
        <v>4520195</v>
      </c>
      <c r="D43" s="5"/>
      <c r="E43" s="5">
        <v>6706681</v>
      </c>
      <c r="F43" s="5"/>
      <c r="G43" s="5">
        <v>433216</v>
      </c>
      <c r="H43" s="5"/>
      <c r="I43" s="5">
        <f>1825552+3484254+848324</f>
        <v>6158130</v>
      </c>
      <c r="J43" s="5"/>
      <c r="K43" s="5">
        <v>5509972</v>
      </c>
      <c r="L43" s="5"/>
      <c r="M43" s="5">
        <v>0</v>
      </c>
      <c r="N43" s="5"/>
      <c r="O43" s="5">
        <v>1231330</v>
      </c>
      <c r="P43" s="5"/>
      <c r="Q43" s="5">
        <v>1216758</v>
      </c>
      <c r="R43" s="5"/>
      <c r="S43" s="5">
        <f>945398+1038927</f>
        <v>1984325</v>
      </c>
      <c r="T43" s="5"/>
      <c r="U43" s="5">
        <v>-51555</v>
      </c>
      <c r="V43" s="5"/>
      <c r="W43" s="5">
        <f t="shared" si="2"/>
        <v>16048960</v>
      </c>
      <c r="X43" s="5"/>
      <c r="Y43" s="5">
        <f t="shared" si="3"/>
        <v>27709052</v>
      </c>
    </row>
    <row r="44" spans="1:26" ht="12.75" hidden="1">
      <c r="A44" s="4" t="s">
        <v>41</v>
      </c>
      <c r="B44" s="4"/>
      <c r="C44" s="5">
        <v>0</v>
      </c>
      <c r="D44" s="5"/>
      <c r="E44" s="5">
        <v>0</v>
      </c>
      <c r="F44" s="5"/>
      <c r="G44" s="5">
        <v>0</v>
      </c>
      <c r="H44" s="5"/>
      <c r="I44" s="5">
        <v>0</v>
      </c>
      <c r="J44" s="5"/>
      <c r="K44" s="5">
        <v>0</v>
      </c>
      <c r="L44" s="5"/>
      <c r="M44" s="5">
        <v>0</v>
      </c>
      <c r="N44" s="5"/>
      <c r="O44" s="5">
        <v>0</v>
      </c>
      <c r="P44" s="5"/>
      <c r="Q44" s="5">
        <v>0</v>
      </c>
      <c r="R44" s="5"/>
      <c r="S44" s="5">
        <v>0</v>
      </c>
      <c r="T44" s="5"/>
      <c r="U44" s="5">
        <v>0</v>
      </c>
      <c r="V44" s="5"/>
      <c r="W44" s="5">
        <f aca="true" t="shared" si="4" ref="W44:W68">SUM(I44:U44)</f>
        <v>0</v>
      </c>
      <c r="X44" s="5"/>
      <c r="Y44" s="5">
        <f t="shared" si="3"/>
        <v>0</v>
      </c>
      <c r="Z44" s="79"/>
    </row>
    <row r="45" spans="1:25" ht="12.75">
      <c r="A45" s="4" t="s">
        <v>42</v>
      </c>
      <c r="B45" s="4"/>
      <c r="C45" s="5">
        <v>2581994</v>
      </c>
      <c r="D45" s="5"/>
      <c r="E45" s="5">
        <v>12125354</v>
      </c>
      <c r="F45" s="5"/>
      <c r="G45" s="5">
        <v>0</v>
      </c>
      <c r="H45" s="5"/>
      <c r="I45" s="5">
        <f>4379668+470439</f>
        <v>4850107</v>
      </c>
      <c r="J45" s="5"/>
      <c r="K45" s="5">
        <v>2803986</v>
      </c>
      <c r="L45" s="5"/>
      <c r="M45" s="5">
        <v>0</v>
      </c>
      <c r="N45" s="5"/>
      <c r="O45" s="5">
        <v>892150</v>
      </c>
      <c r="P45" s="5"/>
      <c r="Q45" s="5">
        <v>447553</v>
      </c>
      <c r="R45" s="5"/>
      <c r="S45" s="5">
        <v>933552</v>
      </c>
      <c r="T45" s="5"/>
      <c r="U45" s="5">
        <v>0</v>
      </c>
      <c r="V45" s="5"/>
      <c r="W45" s="5">
        <f t="shared" si="4"/>
        <v>9927348</v>
      </c>
      <c r="X45" s="5"/>
      <c r="Y45" s="5">
        <f t="shared" si="3"/>
        <v>24634696</v>
      </c>
    </row>
    <row r="46" spans="1:25" ht="12.75">
      <c r="A46" s="4" t="s">
        <v>43</v>
      </c>
      <c r="B46" s="4"/>
      <c r="C46" s="5">
        <v>5418336</v>
      </c>
      <c r="D46" s="5"/>
      <c r="E46" s="5">
        <v>10857243</v>
      </c>
      <c r="F46" s="5"/>
      <c r="G46" s="5">
        <v>0</v>
      </c>
      <c r="H46" s="5"/>
      <c r="I46" s="5">
        <f>2297834+3038489+904442</f>
        <v>6240765</v>
      </c>
      <c r="J46" s="5"/>
      <c r="K46" s="5">
        <v>4271824</v>
      </c>
      <c r="L46" s="5"/>
      <c r="M46" s="5">
        <v>0</v>
      </c>
      <c r="N46" s="5"/>
      <c r="O46" s="5">
        <v>1034329</v>
      </c>
      <c r="P46" s="5"/>
      <c r="Q46" s="5">
        <v>609078</v>
      </c>
      <c r="R46" s="5"/>
      <c r="S46" s="5">
        <v>1631750</v>
      </c>
      <c r="T46" s="5"/>
      <c r="U46" s="5">
        <v>0</v>
      </c>
      <c r="V46" s="5"/>
      <c r="W46" s="5">
        <f t="shared" si="4"/>
        <v>13787746</v>
      </c>
      <c r="X46" s="5"/>
      <c r="Y46" s="5">
        <f t="shared" si="3"/>
        <v>30063325</v>
      </c>
    </row>
    <row r="47" spans="1:25" ht="12.75">
      <c r="A47" s="4" t="s">
        <v>44</v>
      </c>
      <c r="B47" s="4"/>
      <c r="C47" s="5">
        <v>4655740</v>
      </c>
      <c r="D47" s="5"/>
      <c r="E47" s="5">
        <v>21122514</v>
      </c>
      <c r="F47" s="5"/>
      <c r="G47" s="5">
        <v>0</v>
      </c>
      <c r="H47" s="5"/>
      <c r="I47" s="5">
        <v>5753652</v>
      </c>
      <c r="J47" s="5"/>
      <c r="K47" s="5">
        <v>7800062</v>
      </c>
      <c r="L47" s="5"/>
      <c r="M47" s="5">
        <v>0</v>
      </c>
      <c r="N47" s="5"/>
      <c r="O47" s="5">
        <v>1088317</v>
      </c>
      <c r="P47" s="5"/>
      <c r="Q47" s="5">
        <v>715517</v>
      </c>
      <c r="R47" s="5"/>
      <c r="S47" s="5">
        <v>2047625</v>
      </c>
      <c r="T47" s="5"/>
      <c r="U47" s="5">
        <v>-160000</v>
      </c>
      <c r="V47" s="5"/>
      <c r="W47" s="5">
        <f t="shared" si="4"/>
        <v>17245173</v>
      </c>
      <c r="X47" s="5"/>
      <c r="Y47" s="5">
        <f t="shared" si="3"/>
        <v>43023427</v>
      </c>
    </row>
    <row r="48" spans="1:25" ht="12.75" hidden="1">
      <c r="A48" s="4" t="s">
        <v>255</v>
      </c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f t="shared" si="4"/>
        <v>0</v>
      </c>
      <c r="X48" s="5"/>
      <c r="Y48" s="5">
        <f t="shared" si="3"/>
        <v>0</v>
      </c>
    </row>
    <row r="49" spans="1:25" ht="12.75">
      <c r="A49" s="4" t="s">
        <v>46</v>
      </c>
      <c r="B49" s="4"/>
      <c r="C49" s="5">
        <v>9393361</v>
      </c>
      <c r="D49" s="5"/>
      <c r="E49" s="5">
        <v>37859912</v>
      </c>
      <c r="F49" s="5"/>
      <c r="G49" s="5">
        <v>239643</v>
      </c>
      <c r="H49" s="5"/>
      <c r="I49" s="5">
        <f>1905987+322275+2634019+1151228+1281099+657+785975+1110357+1143873</f>
        <v>10335470</v>
      </c>
      <c r="J49" s="5"/>
      <c r="K49" s="5">
        <f>4422764+2658121+1283400+1145131</f>
        <v>9509416</v>
      </c>
      <c r="L49" s="5"/>
      <c r="M49" s="5">
        <v>0</v>
      </c>
      <c r="N49" s="5"/>
      <c r="O49" s="5">
        <v>2873786</v>
      </c>
      <c r="P49" s="5"/>
      <c r="Q49" s="5">
        <v>947993</v>
      </c>
      <c r="R49" s="5"/>
      <c r="S49" s="5">
        <v>1109974</v>
      </c>
      <c r="T49" s="5"/>
      <c r="U49" s="5">
        <v>0</v>
      </c>
      <c r="V49" s="5"/>
      <c r="W49" s="5">
        <f t="shared" si="4"/>
        <v>24776639</v>
      </c>
      <c r="X49" s="5"/>
      <c r="Y49" s="5">
        <f t="shared" si="3"/>
        <v>72269555</v>
      </c>
    </row>
    <row r="50" spans="1:25" ht="12.75">
      <c r="A50" s="4" t="s">
        <v>47</v>
      </c>
      <c r="B50" s="4"/>
      <c r="C50" s="5">
        <v>3337354</v>
      </c>
      <c r="D50" s="5"/>
      <c r="E50" s="5">
        <v>15263070</v>
      </c>
      <c r="F50" s="5"/>
      <c r="G50" s="5">
        <v>2737378</v>
      </c>
      <c r="H50" s="5"/>
      <c r="I50" s="5">
        <f>4022446+3902459</f>
        <v>7924905</v>
      </c>
      <c r="J50" s="5"/>
      <c r="K50" s="5">
        <v>5359260</v>
      </c>
      <c r="L50" s="5"/>
      <c r="M50" s="5">
        <v>0</v>
      </c>
      <c r="N50" s="5"/>
      <c r="O50" s="5">
        <v>2027126</v>
      </c>
      <c r="P50" s="5"/>
      <c r="Q50" s="5">
        <v>1241601</v>
      </c>
      <c r="R50" s="5"/>
      <c r="S50" s="5">
        <v>1561855</v>
      </c>
      <c r="T50" s="5"/>
      <c r="U50" s="5">
        <v>-14451</v>
      </c>
      <c r="V50" s="5"/>
      <c r="W50" s="5">
        <f t="shared" si="4"/>
        <v>18100296</v>
      </c>
      <c r="X50" s="5"/>
      <c r="Y50" s="5">
        <f t="shared" si="3"/>
        <v>39438098</v>
      </c>
    </row>
    <row r="51" spans="1:25" ht="12.75">
      <c r="A51" s="4" t="s">
        <v>48</v>
      </c>
      <c r="B51" s="4"/>
      <c r="C51" s="5">
        <v>20167816</v>
      </c>
      <c r="D51" s="5"/>
      <c r="E51" s="5">
        <v>71491014</v>
      </c>
      <c r="F51" s="5"/>
      <c r="G51" s="5">
        <v>7263648</v>
      </c>
      <c r="H51" s="5"/>
      <c r="I51" s="5">
        <f>12041872+20089283+7780227+3243072+1164739+1394848+1516718</f>
        <v>47230759</v>
      </c>
      <c r="J51" s="5"/>
      <c r="K51" s="5">
        <v>15689514</v>
      </c>
      <c r="L51" s="5"/>
      <c r="M51" s="5">
        <f>4799210+830471</f>
        <v>5629681</v>
      </c>
      <c r="N51" s="5"/>
      <c r="O51" s="5">
        <v>3534620</v>
      </c>
      <c r="P51" s="5"/>
      <c r="Q51" s="5">
        <v>8958343</v>
      </c>
      <c r="R51" s="5"/>
      <c r="S51" s="5">
        <v>10297071</v>
      </c>
      <c r="T51" s="5"/>
      <c r="U51" s="5">
        <v>50000</v>
      </c>
      <c r="V51" s="5"/>
      <c r="W51" s="5">
        <f t="shared" si="4"/>
        <v>91389988</v>
      </c>
      <c r="X51" s="5"/>
      <c r="Y51" s="5">
        <f t="shared" si="3"/>
        <v>190312466</v>
      </c>
    </row>
    <row r="52" spans="1:25" ht="12.75" hidden="1">
      <c r="A52" s="4" t="s">
        <v>170</v>
      </c>
      <c r="B52" s="4"/>
      <c r="C52" s="5">
        <v>0</v>
      </c>
      <c r="D52" s="5"/>
      <c r="E52" s="5">
        <v>0</v>
      </c>
      <c r="F52" s="5"/>
      <c r="G52" s="5">
        <v>0</v>
      </c>
      <c r="H52" s="5"/>
      <c r="I52" s="5">
        <v>0</v>
      </c>
      <c r="J52" s="5"/>
      <c r="K52" s="5">
        <v>0</v>
      </c>
      <c r="L52" s="5"/>
      <c r="M52" s="5">
        <v>0</v>
      </c>
      <c r="N52" s="5"/>
      <c r="O52" s="5">
        <v>0</v>
      </c>
      <c r="P52" s="5"/>
      <c r="Q52" s="5">
        <v>0</v>
      </c>
      <c r="R52" s="5"/>
      <c r="S52" s="5">
        <v>0</v>
      </c>
      <c r="T52" s="5"/>
      <c r="U52" s="5">
        <v>0</v>
      </c>
      <c r="V52" s="5"/>
      <c r="W52" s="5">
        <f t="shared" si="4"/>
        <v>0</v>
      </c>
      <c r="X52" s="5"/>
      <c r="Y52" s="5">
        <f t="shared" si="3"/>
        <v>0</v>
      </c>
    </row>
    <row r="53" spans="1:25" ht="12.75">
      <c r="A53" s="4" t="s">
        <v>49</v>
      </c>
      <c r="B53" s="4"/>
      <c r="C53" s="5">
        <v>10737196</v>
      </c>
      <c r="D53" s="5"/>
      <c r="E53" s="5">
        <v>30658017</v>
      </c>
      <c r="F53" s="5"/>
      <c r="G53" s="5">
        <v>1625400</v>
      </c>
      <c r="H53" s="5"/>
      <c r="I53" s="5">
        <f>7065085+13379324</f>
        <v>20444409</v>
      </c>
      <c r="J53" s="5"/>
      <c r="K53" s="5">
        <v>23730293</v>
      </c>
      <c r="L53" s="5"/>
      <c r="M53" s="5">
        <v>0</v>
      </c>
      <c r="N53" s="5"/>
      <c r="O53" s="5">
        <v>13980361</v>
      </c>
      <c r="P53" s="5"/>
      <c r="Q53" s="5">
        <v>3853374</v>
      </c>
      <c r="R53" s="5"/>
      <c r="S53" s="5">
        <v>2940868</v>
      </c>
      <c r="T53" s="5"/>
      <c r="U53" s="5">
        <v>95090</v>
      </c>
      <c r="V53" s="5"/>
      <c r="W53" s="5">
        <f t="shared" si="4"/>
        <v>65044395</v>
      </c>
      <c r="X53" s="5"/>
      <c r="Y53" s="5">
        <f t="shared" si="3"/>
        <v>108065008</v>
      </c>
    </row>
    <row r="54" spans="1:25" ht="12.75">
      <c r="A54" s="4" t="s">
        <v>50</v>
      </c>
      <c r="B54" s="4"/>
      <c r="C54" s="5">
        <v>4585719</v>
      </c>
      <c r="D54" s="5"/>
      <c r="E54" s="5">
        <v>14257065</v>
      </c>
      <c r="F54" s="5"/>
      <c r="G54" s="5">
        <v>0</v>
      </c>
      <c r="H54" s="5"/>
      <c r="I54" s="5">
        <v>14366412</v>
      </c>
      <c r="J54" s="5"/>
      <c r="K54" s="5">
        <v>0</v>
      </c>
      <c r="L54" s="5"/>
      <c r="M54" s="5">
        <v>0</v>
      </c>
      <c r="N54" s="5"/>
      <c r="O54" s="5">
        <v>4210815</v>
      </c>
      <c r="P54" s="5"/>
      <c r="Q54" s="5">
        <v>1438005</v>
      </c>
      <c r="R54" s="5"/>
      <c r="S54" s="5">
        <f>1576084+268604</f>
        <v>1844688</v>
      </c>
      <c r="T54" s="5"/>
      <c r="U54" s="5">
        <v>-14555</v>
      </c>
      <c r="V54" s="5"/>
      <c r="W54" s="5">
        <f t="shared" si="4"/>
        <v>21845365</v>
      </c>
      <c r="X54" s="5"/>
      <c r="Y54" s="5">
        <f t="shared" si="3"/>
        <v>40688149</v>
      </c>
    </row>
    <row r="55" spans="1:25" ht="12.75">
      <c r="A55" s="4" t="s">
        <v>260</v>
      </c>
      <c r="B55" s="4"/>
      <c r="C55" s="5">
        <v>41026549</v>
      </c>
      <c r="D55" s="5"/>
      <c r="E55" s="5">
        <v>90035591</v>
      </c>
      <c r="F55" s="5"/>
      <c r="G55" s="5">
        <v>4225047</v>
      </c>
      <c r="H55" s="5"/>
      <c r="I55" s="5">
        <v>57044702</v>
      </c>
      <c r="J55" s="5"/>
      <c r="K55" s="5">
        <v>23025723</v>
      </c>
      <c r="L55" s="5"/>
      <c r="M55" s="5">
        <v>0</v>
      </c>
      <c r="N55" s="5"/>
      <c r="O55" s="5">
        <v>8455970</v>
      </c>
      <c r="P55" s="5"/>
      <c r="Q55" s="5">
        <v>7813776</v>
      </c>
      <c r="R55" s="5"/>
      <c r="S55" s="5">
        <v>1476390</v>
      </c>
      <c r="T55" s="5"/>
      <c r="U55" s="5">
        <v>0</v>
      </c>
      <c r="V55" s="5"/>
      <c r="W55" s="5">
        <f t="shared" si="4"/>
        <v>97816561</v>
      </c>
      <c r="X55" s="5"/>
      <c r="Y55" s="5">
        <f t="shared" si="3"/>
        <v>233103748</v>
      </c>
    </row>
    <row r="56" spans="1:25" ht="12.75">
      <c r="A56" s="4" t="s">
        <v>191</v>
      </c>
      <c r="B56" s="4"/>
      <c r="C56" s="5">
        <v>30416000</v>
      </c>
      <c r="D56" s="5"/>
      <c r="E56" s="5">
        <v>204563000</v>
      </c>
      <c r="F56" s="5"/>
      <c r="G56" s="5">
        <v>5342000</v>
      </c>
      <c r="H56" s="5"/>
      <c r="I56" s="5">
        <v>110923000</v>
      </c>
      <c r="J56" s="5"/>
      <c r="K56" s="5">
        <v>71271000</v>
      </c>
      <c r="L56" s="5"/>
      <c r="M56" s="5">
        <v>18954000</v>
      </c>
      <c r="N56" s="5"/>
      <c r="O56" s="5">
        <v>24624000</v>
      </c>
      <c r="P56" s="5"/>
      <c r="Q56" s="5">
        <v>11576000</v>
      </c>
      <c r="R56" s="5"/>
      <c r="S56" s="5">
        <v>19309000</v>
      </c>
      <c r="T56" s="5"/>
      <c r="U56" s="5">
        <v>0</v>
      </c>
      <c r="V56" s="5"/>
      <c r="W56" s="5">
        <f t="shared" si="4"/>
        <v>256657000</v>
      </c>
      <c r="X56" s="5"/>
      <c r="Y56" s="5">
        <f t="shared" si="3"/>
        <v>496978000</v>
      </c>
    </row>
    <row r="57" spans="1:25" ht="12.75" hidden="1">
      <c r="A57" s="4" t="s">
        <v>52</v>
      </c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>
        <f t="shared" si="4"/>
        <v>0</v>
      </c>
      <c r="X57" s="5"/>
      <c r="Y57" s="5">
        <f t="shared" si="3"/>
        <v>0</v>
      </c>
    </row>
    <row r="58" spans="1:25" ht="12.75">
      <c r="A58" s="4" t="s">
        <v>53</v>
      </c>
      <c r="B58" s="4"/>
      <c r="C58" s="5">
        <v>21375670</v>
      </c>
      <c r="D58" s="5"/>
      <c r="E58" s="5">
        <v>92007332</v>
      </c>
      <c r="F58" s="5"/>
      <c r="G58" s="5">
        <v>1972594</v>
      </c>
      <c r="H58" s="5"/>
      <c r="I58" s="5">
        <f>4735863+4208800+5956717+15872280+4008735</f>
        <v>34782395</v>
      </c>
      <c r="J58" s="5"/>
      <c r="K58" s="5">
        <v>27620917</v>
      </c>
      <c r="L58" s="5"/>
      <c r="M58" s="5">
        <v>0</v>
      </c>
      <c r="N58" s="5"/>
      <c r="O58" s="5">
        <v>10336211</v>
      </c>
      <c r="P58" s="5"/>
      <c r="Q58" s="5">
        <v>5687635</v>
      </c>
      <c r="R58" s="5"/>
      <c r="S58" s="5">
        <f>2641373+2002633</f>
        <v>4644006</v>
      </c>
      <c r="T58" s="5"/>
      <c r="U58" s="5">
        <v>-73003</v>
      </c>
      <c r="V58" s="5"/>
      <c r="W58" s="5">
        <f t="shared" si="4"/>
        <v>82998161</v>
      </c>
      <c r="X58" s="5"/>
      <c r="Y58" s="5">
        <f t="shared" si="3"/>
        <v>198353757</v>
      </c>
    </row>
    <row r="59" spans="1:25" ht="12.75">
      <c r="A59" s="4" t="s">
        <v>54</v>
      </c>
      <c r="B59" s="4"/>
      <c r="C59" s="5">
        <v>5489643</v>
      </c>
      <c r="D59" s="5"/>
      <c r="E59" s="5">
        <v>21971045</v>
      </c>
      <c r="F59" s="5"/>
      <c r="G59" s="5">
        <v>5516629</v>
      </c>
      <c r="H59" s="5"/>
      <c r="I59" s="5">
        <f>2167903+654433+2961609+1514642+63710+312797+11561</f>
        <v>7686655</v>
      </c>
      <c r="J59" s="5"/>
      <c r="K59" s="5">
        <v>6677483</v>
      </c>
      <c r="L59" s="5"/>
      <c r="M59" s="5">
        <v>0</v>
      </c>
      <c r="N59" s="5"/>
      <c r="O59" s="5">
        <v>1566057</v>
      </c>
      <c r="P59" s="5"/>
      <c r="Q59" s="5">
        <v>1700569</v>
      </c>
      <c r="R59" s="5"/>
      <c r="S59" s="5">
        <v>1926596</v>
      </c>
      <c r="T59" s="5"/>
      <c r="U59" s="5">
        <v>0</v>
      </c>
      <c r="V59" s="5"/>
      <c r="W59" s="5">
        <f t="shared" si="4"/>
        <v>19557360</v>
      </c>
      <c r="X59" s="5"/>
      <c r="Y59" s="5">
        <f t="shared" si="3"/>
        <v>52534677</v>
      </c>
    </row>
    <row r="60" spans="1:25" ht="12.75">
      <c r="A60" s="4" t="s">
        <v>55</v>
      </c>
      <c r="B60" s="4"/>
      <c r="C60" s="5">
        <v>14847387</v>
      </c>
      <c r="D60" s="5"/>
      <c r="E60" s="5">
        <v>39431435</v>
      </c>
      <c r="F60" s="5"/>
      <c r="G60" s="5">
        <v>1490934</v>
      </c>
      <c r="H60" s="5"/>
      <c r="I60" s="5">
        <f>10928172+966588+11098447+731813+1253273</f>
        <v>24978293</v>
      </c>
      <c r="J60" s="5"/>
      <c r="K60" s="5">
        <v>9557722</v>
      </c>
      <c r="L60" s="5"/>
      <c r="M60" s="5">
        <v>926947</v>
      </c>
      <c r="N60" s="5"/>
      <c r="O60" s="5">
        <v>5318593</v>
      </c>
      <c r="P60" s="5"/>
      <c r="Q60" s="5">
        <v>3912399</v>
      </c>
      <c r="R60" s="5"/>
      <c r="S60" s="5">
        <v>3655843</v>
      </c>
      <c r="T60" s="5"/>
      <c r="U60" s="5">
        <v>0</v>
      </c>
      <c r="V60" s="5"/>
      <c r="W60" s="5">
        <f t="shared" si="4"/>
        <v>48349797</v>
      </c>
      <c r="X60" s="5"/>
      <c r="Y60" s="5">
        <f t="shared" si="3"/>
        <v>104119553</v>
      </c>
    </row>
    <row r="61" spans="1:25" ht="12.75" hidden="1">
      <c r="A61" s="4" t="s">
        <v>171</v>
      </c>
      <c r="B61" s="4"/>
      <c r="C61" s="5">
        <v>0</v>
      </c>
      <c r="D61" s="5"/>
      <c r="E61" s="5">
        <v>0</v>
      </c>
      <c r="F61" s="5"/>
      <c r="G61" s="5">
        <v>0</v>
      </c>
      <c r="H61" s="5"/>
      <c r="I61" s="5">
        <v>0</v>
      </c>
      <c r="J61" s="5"/>
      <c r="K61" s="5">
        <v>0</v>
      </c>
      <c r="L61" s="5"/>
      <c r="M61" s="5">
        <v>0</v>
      </c>
      <c r="N61" s="5"/>
      <c r="O61" s="5">
        <v>0</v>
      </c>
      <c r="P61" s="5"/>
      <c r="Q61" s="5">
        <v>0</v>
      </c>
      <c r="R61" s="5"/>
      <c r="S61" s="5">
        <v>0</v>
      </c>
      <c r="T61" s="5"/>
      <c r="U61" s="5">
        <v>0</v>
      </c>
      <c r="V61" s="5"/>
      <c r="W61" s="5">
        <f t="shared" si="4"/>
        <v>0</v>
      </c>
      <c r="X61" s="5"/>
      <c r="Y61" s="5">
        <f t="shared" si="3"/>
        <v>0</v>
      </c>
    </row>
    <row r="62" spans="1:25" ht="12.75" hidden="1">
      <c r="A62" s="4" t="s">
        <v>56</v>
      </c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>
        <f t="shared" si="4"/>
        <v>0</v>
      </c>
      <c r="X62" s="5"/>
      <c r="Y62" s="5">
        <f t="shared" si="3"/>
        <v>0</v>
      </c>
    </row>
    <row r="63" spans="1:25" ht="12.75">
      <c r="A63" s="4" t="s">
        <v>57</v>
      </c>
      <c r="B63" s="4"/>
      <c r="C63" s="5">
        <v>16040378</v>
      </c>
      <c r="D63" s="5"/>
      <c r="E63" s="5">
        <v>16479006</v>
      </c>
      <c r="F63" s="5"/>
      <c r="G63" s="5">
        <v>2216325</v>
      </c>
      <c r="H63" s="5"/>
      <c r="I63" s="5">
        <v>12032427</v>
      </c>
      <c r="J63" s="5"/>
      <c r="K63" s="5">
        <v>10415445</v>
      </c>
      <c r="L63" s="5"/>
      <c r="M63" s="5">
        <v>0</v>
      </c>
      <c r="N63" s="5"/>
      <c r="O63" s="5">
        <v>4093762</v>
      </c>
      <c r="P63" s="5"/>
      <c r="Q63" s="5">
        <v>3384196</v>
      </c>
      <c r="R63" s="5"/>
      <c r="S63" s="5">
        <v>787847</v>
      </c>
      <c r="T63" s="5"/>
      <c r="U63" s="5">
        <v>0</v>
      </c>
      <c r="V63" s="5"/>
      <c r="W63" s="5">
        <f t="shared" si="4"/>
        <v>30713677</v>
      </c>
      <c r="X63" s="5"/>
      <c r="Y63" s="5">
        <f t="shared" si="3"/>
        <v>65449386</v>
      </c>
    </row>
    <row r="64" spans="1:25" ht="12.75">
      <c r="A64" s="4" t="s">
        <v>58</v>
      </c>
      <c r="B64" s="4"/>
      <c r="C64" s="5">
        <v>1513158</v>
      </c>
      <c r="D64" s="5"/>
      <c r="E64" s="5">
        <v>11974344</v>
      </c>
      <c r="F64" s="5"/>
      <c r="G64" s="5">
        <v>971394</v>
      </c>
      <c r="H64" s="5"/>
      <c r="I64" s="5">
        <f>788341+663337+37685</f>
        <v>1489363</v>
      </c>
      <c r="J64" s="5"/>
      <c r="K64" s="5">
        <v>1206720</v>
      </c>
      <c r="L64" s="5"/>
      <c r="M64" s="5">
        <v>0</v>
      </c>
      <c r="N64" s="5"/>
      <c r="O64" s="5">
        <f>388867</f>
        <v>388867</v>
      </c>
      <c r="P64" s="5"/>
      <c r="Q64" s="5">
        <v>347299</v>
      </c>
      <c r="R64" s="5"/>
      <c r="S64" s="5">
        <f>7968+53500+597532</f>
        <v>659000</v>
      </c>
      <c r="T64" s="5"/>
      <c r="U64" s="5">
        <v>0</v>
      </c>
      <c r="V64" s="5"/>
      <c r="W64" s="5">
        <f t="shared" si="4"/>
        <v>4091249</v>
      </c>
      <c r="X64" s="5"/>
      <c r="Y64" s="5">
        <f t="shared" si="3"/>
        <v>18550145</v>
      </c>
    </row>
    <row r="65" spans="1:25" ht="12.75">
      <c r="A65" s="4" t="s">
        <v>59</v>
      </c>
      <c r="B65" s="4"/>
      <c r="C65" s="5">
        <v>62748290</v>
      </c>
      <c r="D65" s="5"/>
      <c r="E65" s="5">
        <v>216644380</v>
      </c>
      <c r="F65" s="5"/>
      <c r="G65" s="5">
        <v>4817701</v>
      </c>
      <c r="H65" s="5"/>
      <c r="I65" s="5">
        <f>18987154+3744079+88780736</f>
        <v>111511969</v>
      </c>
      <c r="J65" s="5"/>
      <c r="K65" s="5">
        <v>65645345</v>
      </c>
      <c r="L65" s="5"/>
      <c r="M65" s="5">
        <v>8680327</v>
      </c>
      <c r="N65" s="5"/>
      <c r="O65" s="5">
        <v>22361933</v>
      </c>
      <c r="P65" s="5"/>
      <c r="Q65" s="5">
        <v>24822378</v>
      </c>
      <c r="R65" s="5"/>
      <c r="S65" s="5">
        <f>147373+7912354</f>
        <v>8059727</v>
      </c>
      <c r="T65" s="5"/>
      <c r="U65" s="5">
        <v>-2864528</v>
      </c>
      <c r="V65" s="5"/>
      <c r="W65" s="5">
        <f t="shared" si="4"/>
        <v>238217151</v>
      </c>
      <c r="X65" s="5"/>
      <c r="Y65" s="5">
        <f t="shared" si="3"/>
        <v>522427522</v>
      </c>
    </row>
    <row r="66" spans="1:25" ht="12.75" hidden="1">
      <c r="A66" s="4" t="s">
        <v>60</v>
      </c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>
        <f t="shared" si="4"/>
        <v>0</v>
      </c>
      <c r="X66" s="5"/>
      <c r="Y66" s="5">
        <f t="shared" si="3"/>
        <v>0</v>
      </c>
    </row>
    <row r="67" spans="1:25" ht="12.75">
      <c r="A67" s="4" t="s">
        <v>97</v>
      </c>
      <c r="B67" s="4"/>
      <c r="C67" s="5">
        <v>3586238</v>
      </c>
      <c r="D67" s="5"/>
      <c r="E67" s="5">
        <v>12824575</v>
      </c>
      <c r="F67" s="5"/>
      <c r="G67" s="5">
        <v>0</v>
      </c>
      <c r="H67" s="5"/>
      <c r="I67" s="5">
        <f>2402291+1574616</f>
        <v>3976907</v>
      </c>
      <c r="J67" s="5"/>
      <c r="K67" s="5">
        <v>2736146</v>
      </c>
      <c r="L67" s="5"/>
      <c r="M67" s="5">
        <v>0</v>
      </c>
      <c r="N67" s="5"/>
      <c r="O67" s="5">
        <v>977397</v>
      </c>
      <c r="P67" s="5"/>
      <c r="Q67" s="5">
        <v>886830</v>
      </c>
      <c r="R67" s="5"/>
      <c r="S67" s="5">
        <v>717907</v>
      </c>
      <c r="T67" s="5"/>
      <c r="U67" s="5">
        <v>13805</v>
      </c>
      <c r="V67" s="5"/>
      <c r="W67" s="5">
        <f t="shared" si="4"/>
        <v>9308992</v>
      </c>
      <c r="X67" s="5"/>
      <c r="Y67" s="5">
        <f t="shared" si="3"/>
        <v>25719805</v>
      </c>
    </row>
    <row r="68" spans="1:25" ht="12.75">
      <c r="A68" s="4" t="s">
        <v>61</v>
      </c>
      <c r="B68" s="4"/>
      <c r="C68" s="5">
        <v>11886419</v>
      </c>
      <c r="D68" s="5"/>
      <c r="E68" s="5">
        <v>32799104</v>
      </c>
      <c r="F68" s="5"/>
      <c r="G68" s="5">
        <v>2103860</v>
      </c>
      <c r="H68" s="5"/>
      <c r="I68" s="5">
        <f>2686036+396773+494280+980990+589984+3021990+3259357+367274</f>
        <v>11796684</v>
      </c>
      <c r="J68" s="5"/>
      <c r="K68" s="5">
        <v>14774019</v>
      </c>
      <c r="L68" s="5"/>
      <c r="M68" s="5">
        <v>0</v>
      </c>
      <c r="N68" s="5"/>
      <c r="O68" s="5">
        <v>1921577</v>
      </c>
      <c r="P68" s="5"/>
      <c r="Q68" s="5">
        <v>3117217</v>
      </c>
      <c r="R68" s="5"/>
      <c r="S68" s="5">
        <f>491029+632+518725</f>
        <v>1010386</v>
      </c>
      <c r="T68" s="5"/>
      <c r="U68" s="5">
        <v>43824</v>
      </c>
      <c r="V68" s="5"/>
      <c r="W68" s="5">
        <f t="shared" si="4"/>
        <v>32663707</v>
      </c>
      <c r="X68" s="5"/>
      <c r="Y68" s="5">
        <f t="shared" si="3"/>
        <v>79453090</v>
      </c>
    </row>
    <row r="69" spans="1:25" ht="12.75">
      <c r="A69" s="4" t="s">
        <v>62</v>
      </c>
      <c r="B69" s="4"/>
      <c r="C69" s="5">
        <v>1396821</v>
      </c>
      <c r="D69" s="5"/>
      <c r="E69" s="5">
        <v>8043816</v>
      </c>
      <c r="F69" s="5"/>
      <c r="G69" s="5">
        <v>91795</v>
      </c>
      <c r="H69" s="5"/>
      <c r="I69" s="5">
        <f>736489+47422+549203+228291+182193</f>
        <v>1743598</v>
      </c>
      <c r="J69" s="5"/>
      <c r="K69" s="5">
        <v>1005701</v>
      </c>
      <c r="L69" s="5"/>
      <c r="M69" s="5">
        <v>0</v>
      </c>
      <c r="N69" s="5"/>
      <c r="O69" s="5">
        <v>361945</v>
      </c>
      <c r="P69" s="5"/>
      <c r="Q69" s="5">
        <v>222517</v>
      </c>
      <c r="R69" s="5"/>
      <c r="S69" s="5">
        <v>210544</v>
      </c>
      <c r="T69" s="5"/>
      <c r="U69" s="5">
        <v>0</v>
      </c>
      <c r="V69" s="5"/>
      <c r="W69" s="5">
        <f aca="true" t="shared" si="5" ref="W69:W74">SUM(I69:U69)</f>
        <v>3544305</v>
      </c>
      <c r="X69" s="5"/>
      <c r="Y69" s="5">
        <f t="shared" si="3"/>
        <v>13076737</v>
      </c>
    </row>
    <row r="70" spans="1:25" ht="12.75">
      <c r="A70" s="4" t="s">
        <v>63</v>
      </c>
      <c r="B70" s="4"/>
      <c r="C70" s="5">
        <v>6726493</v>
      </c>
      <c r="D70" s="5"/>
      <c r="E70" s="5">
        <v>3469196</v>
      </c>
      <c r="F70" s="5"/>
      <c r="G70" s="5">
        <v>18138312</v>
      </c>
      <c r="H70" s="5"/>
      <c r="I70" s="5">
        <f>7908735+487004+9</f>
        <v>8395748</v>
      </c>
      <c r="J70" s="5"/>
      <c r="K70" s="5">
        <v>5453341</v>
      </c>
      <c r="L70" s="5"/>
      <c r="M70" s="5">
        <v>0</v>
      </c>
      <c r="N70" s="5"/>
      <c r="O70" s="5">
        <v>0</v>
      </c>
      <c r="P70" s="5"/>
      <c r="Q70" s="5">
        <v>2097376</v>
      </c>
      <c r="R70" s="5"/>
      <c r="S70" s="5">
        <v>2402795</v>
      </c>
      <c r="T70" s="5"/>
      <c r="U70" s="5">
        <v>893137</v>
      </c>
      <c r="V70" s="5"/>
      <c r="W70" s="5">
        <f t="shared" si="5"/>
        <v>19242397</v>
      </c>
      <c r="X70" s="5"/>
      <c r="Y70" s="5">
        <f t="shared" si="3"/>
        <v>47576398</v>
      </c>
    </row>
    <row r="71" spans="1:25" ht="12.75" hidden="1">
      <c r="A71" s="4" t="s">
        <v>132</v>
      </c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>
        <f t="shared" si="5"/>
        <v>0</v>
      </c>
      <c r="X71" s="5"/>
      <c r="Y71" s="5">
        <f t="shared" si="3"/>
        <v>0</v>
      </c>
    </row>
    <row r="72" spans="1:25" ht="12.75" hidden="1">
      <c r="A72" s="4" t="s">
        <v>64</v>
      </c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>
        <f t="shared" si="5"/>
        <v>0</v>
      </c>
      <c r="X72" s="5"/>
      <c r="Y72" s="5">
        <f t="shared" si="3"/>
        <v>0</v>
      </c>
    </row>
    <row r="73" spans="1:25" ht="12.75">
      <c r="A73" s="4" t="s">
        <v>65</v>
      </c>
      <c r="B73" s="4"/>
      <c r="C73" s="5">
        <v>4798539</v>
      </c>
      <c r="D73" s="5"/>
      <c r="E73" s="5">
        <v>13201559</v>
      </c>
      <c r="F73" s="5"/>
      <c r="G73" s="5">
        <v>0</v>
      </c>
      <c r="H73" s="5"/>
      <c r="I73" s="5">
        <f>3270416+3692679+443612+15471</f>
        <v>7422178</v>
      </c>
      <c r="J73" s="5"/>
      <c r="K73" s="5">
        <v>5686142</v>
      </c>
      <c r="L73" s="5"/>
      <c r="M73" s="5">
        <v>0</v>
      </c>
      <c r="N73" s="5"/>
      <c r="O73" s="5">
        <v>2300175</v>
      </c>
      <c r="P73" s="5"/>
      <c r="Q73" s="5">
        <v>637424</v>
      </c>
      <c r="R73" s="5"/>
      <c r="S73" s="5">
        <v>1343997</v>
      </c>
      <c r="T73" s="5"/>
      <c r="U73" s="5">
        <v>0</v>
      </c>
      <c r="V73" s="5"/>
      <c r="W73" s="5">
        <f t="shared" si="5"/>
        <v>17389916</v>
      </c>
      <c r="X73" s="5"/>
      <c r="Y73" s="5">
        <f t="shared" si="3"/>
        <v>35390014</v>
      </c>
    </row>
    <row r="74" spans="1:25" ht="12.75">
      <c r="A74" s="4" t="s">
        <v>66</v>
      </c>
      <c r="B74" s="4"/>
      <c r="C74" s="5">
        <f>2189974+10648</f>
        <v>2200622</v>
      </c>
      <c r="D74" s="5"/>
      <c r="E74" s="5">
        <v>0</v>
      </c>
      <c r="F74" s="5"/>
      <c r="G74" s="5">
        <v>0</v>
      </c>
      <c r="H74" s="5"/>
      <c r="I74" s="5">
        <v>6557488</v>
      </c>
      <c r="J74" s="5"/>
      <c r="K74" s="5">
        <v>0</v>
      </c>
      <c r="L74" s="5"/>
      <c r="M74" s="5">
        <v>71935</v>
      </c>
      <c r="N74" s="5"/>
      <c r="O74" s="5">
        <v>12236258</v>
      </c>
      <c r="P74" s="5"/>
      <c r="Q74" s="5">
        <v>768280</v>
      </c>
      <c r="R74" s="5"/>
      <c r="S74" s="5">
        <f>3259480+4201+115827</f>
        <v>3379508</v>
      </c>
      <c r="T74" s="5"/>
      <c r="U74" s="5">
        <v>-1</v>
      </c>
      <c r="V74" s="5"/>
      <c r="W74" s="5">
        <f t="shared" si="5"/>
        <v>23013468</v>
      </c>
      <c r="X74" s="5"/>
      <c r="Y74" s="5">
        <f t="shared" si="3"/>
        <v>25214090</v>
      </c>
    </row>
    <row r="75" spans="1:25" ht="12.75">
      <c r="A75" s="4" t="s">
        <v>67</v>
      </c>
      <c r="B75" s="4"/>
      <c r="C75" s="5">
        <v>18401206</v>
      </c>
      <c r="D75" s="5"/>
      <c r="E75" s="5">
        <v>46286912</v>
      </c>
      <c r="F75" s="5"/>
      <c r="G75" s="5">
        <v>1834412</v>
      </c>
      <c r="H75" s="5"/>
      <c r="I75" s="5">
        <f>4431123+3747964+14105710+2574654+1427625</f>
        <v>26287076</v>
      </c>
      <c r="J75" s="5"/>
      <c r="K75" s="5">
        <v>14386517</v>
      </c>
      <c r="L75" s="5"/>
      <c r="M75" s="5">
        <v>0</v>
      </c>
      <c r="N75" s="5"/>
      <c r="O75" s="5">
        <v>5997170</v>
      </c>
      <c r="P75" s="5"/>
      <c r="Q75" s="5">
        <v>3348840</v>
      </c>
      <c r="R75" s="5"/>
      <c r="S75" s="5">
        <v>547694</v>
      </c>
      <c r="T75" s="5"/>
      <c r="U75" s="5">
        <v>0</v>
      </c>
      <c r="V75" s="5"/>
      <c r="W75" s="5">
        <f aca="true" t="shared" si="6" ref="W75:W97">SUM(I75:U75)</f>
        <v>50567297</v>
      </c>
      <c r="X75" s="5"/>
      <c r="Y75" s="5">
        <f aca="true" t="shared" si="7" ref="Y75:Y97">SUM(B75:V75)</f>
        <v>117089827</v>
      </c>
    </row>
    <row r="76" spans="1:25" ht="12.75">
      <c r="A76" s="4" t="s">
        <v>68</v>
      </c>
      <c r="B76" s="4"/>
      <c r="C76" s="5">
        <v>3652402</v>
      </c>
      <c r="D76" s="5"/>
      <c r="E76" s="5">
        <v>14429442</v>
      </c>
      <c r="F76" s="5"/>
      <c r="G76" s="5">
        <v>643132</v>
      </c>
      <c r="H76" s="5"/>
      <c r="I76" s="5">
        <f>2008262+272773+380402+1043780+241623</f>
        <v>3946840</v>
      </c>
      <c r="J76" s="5"/>
      <c r="K76" s="5">
        <f>4388892</f>
        <v>4388892</v>
      </c>
      <c r="L76" s="5"/>
      <c r="M76" s="5">
        <v>0</v>
      </c>
      <c r="N76" s="5"/>
      <c r="O76" s="5">
        <v>1176909</v>
      </c>
      <c r="P76" s="5"/>
      <c r="Q76" s="5">
        <v>772727</v>
      </c>
      <c r="R76" s="5"/>
      <c r="S76" s="5">
        <f>1000+74404+702070</f>
        <v>777474</v>
      </c>
      <c r="T76" s="5"/>
      <c r="U76" s="5">
        <v>0</v>
      </c>
      <c r="V76" s="5"/>
      <c r="W76" s="5">
        <f t="shared" si="6"/>
        <v>11062842</v>
      </c>
      <c r="X76" s="5"/>
      <c r="Y76" s="5">
        <f t="shared" si="7"/>
        <v>29787818</v>
      </c>
    </row>
    <row r="77" spans="1:25" ht="12.75" hidden="1">
      <c r="A77" s="4" t="s">
        <v>176</v>
      </c>
      <c r="B77" s="4"/>
      <c r="C77" s="5">
        <v>0</v>
      </c>
      <c r="D77" s="5"/>
      <c r="E77" s="5">
        <v>0</v>
      </c>
      <c r="F77" s="5"/>
      <c r="G77" s="5">
        <v>0</v>
      </c>
      <c r="H77" s="5"/>
      <c r="I77" s="5">
        <v>0</v>
      </c>
      <c r="J77" s="5"/>
      <c r="K77" s="5">
        <v>0</v>
      </c>
      <c r="L77" s="5"/>
      <c r="M77" s="5">
        <v>0</v>
      </c>
      <c r="N77" s="5"/>
      <c r="O77" s="5">
        <v>0</v>
      </c>
      <c r="P77" s="5"/>
      <c r="Q77" s="5">
        <v>0</v>
      </c>
      <c r="R77" s="5"/>
      <c r="S77" s="5">
        <v>0</v>
      </c>
      <c r="T77" s="5"/>
      <c r="U77" s="5">
        <v>0</v>
      </c>
      <c r="V77" s="5"/>
      <c r="W77" s="5">
        <f t="shared" si="6"/>
        <v>0</v>
      </c>
      <c r="X77" s="5"/>
      <c r="Y77" s="5">
        <f t="shared" si="7"/>
        <v>0</v>
      </c>
    </row>
    <row r="78" spans="1:25" ht="12.75">
      <c r="A78" s="4" t="s">
        <v>181</v>
      </c>
      <c r="B78" s="4"/>
      <c r="C78" s="5">
        <v>13635710</v>
      </c>
      <c r="D78" s="5"/>
      <c r="E78" s="5">
        <v>50293069</v>
      </c>
      <c r="F78" s="5"/>
      <c r="G78" s="5">
        <v>3447111</v>
      </c>
      <c r="H78" s="5"/>
      <c r="I78" s="5">
        <f>4518983+1742200+8834054+3046710+792197</f>
        <v>18934144</v>
      </c>
      <c r="J78" s="5"/>
      <c r="K78" s="5">
        <v>14773166</v>
      </c>
      <c r="L78" s="5"/>
      <c r="M78" s="5">
        <v>0</v>
      </c>
      <c r="N78" s="5"/>
      <c r="O78" s="5">
        <v>5538462</v>
      </c>
      <c r="P78" s="5"/>
      <c r="Q78" s="5">
        <v>2816771</v>
      </c>
      <c r="R78" s="5"/>
      <c r="S78" s="5">
        <v>964809</v>
      </c>
      <c r="T78" s="5"/>
      <c r="U78" s="5">
        <v>0</v>
      </c>
      <c r="V78" s="5"/>
      <c r="W78" s="5">
        <f t="shared" si="6"/>
        <v>43027352</v>
      </c>
      <c r="X78" s="5"/>
      <c r="Y78" s="5">
        <f t="shared" si="7"/>
        <v>110403242</v>
      </c>
    </row>
    <row r="79" spans="1:25" ht="12.75">
      <c r="A79" s="4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.75">
      <c r="A80" s="4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3" t="s">
        <v>261</v>
      </c>
    </row>
    <row r="81" spans="1:25" s="100" customFormat="1" ht="12.75">
      <c r="A81" s="67" t="s">
        <v>69</v>
      </c>
      <c r="B81" s="67"/>
      <c r="C81" s="26">
        <v>7900187</v>
      </c>
      <c r="D81" s="26"/>
      <c r="E81" s="26">
        <v>25196492</v>
      </c>
      <c r="F81" s="26"/>
      <c r="G81" s="26">
        <v>1834988</v>
      </c>
      <c r="H81" s="26"/>
      <c r="I81" s="26">
        <f>884777+4821451+283504+1988636</f>
        <v>7978368</v>
      </c>
      <c r="J81" s="26"/>
      <c r="K81" s="26">
        <v>11219814</v>
      </c>
      <c r="L81" s="26"/>
      <c r="M81" s="26">
        <v>0</v>
      </c>
      <c r="N81" s="26"/>
      <c r="O81" s="26">
        <v>1728241</v>
      </c>
      <c r="P81" s="26"/>
      <c r="Q81" s="26">
        <v>980435</v>
      </c>
      <c r="R81" s="26"/>
      <c r="S81" s="26">
        <v>652083</v>
      </c>
      <c r="T81" s="26"/>
      <c r="U81" s="26">
        <v>0</v>
      </c>
      <c r="V81" s="26"/>
      <c r="W81" s="26">
        <f t="shared" si="6"/>
        <v>22558941</v>
      </c>
      <c r="X81" s="26"/>
      <c r="Y81" s="26">
        <f t="shared" si="7"/>
        <v>57490608</v>
      </c>
    </row>
    <row r="82" spans="1:25" ht="12.75">
      <c r="A82" s="4" t="s">
        <v>98</v>
      </c>
      <c r="B82" s="4"/>
      <c r="C82" s="5">
        <v>6833784</v>
      </c>
      <c r="D82" s="5"/>
      <c r="E82" s="5">
        <v>21793708</v>
      </c>
      <c r="F82" s="5"/>
      <c r="G82" s="5">
        <v>1483133</v>
      </c>
      <c r="H82" s="5"/>
      <c r="I82" s="5">
        <f>2820290+4430442+191197+274613</f>
        <v>7716542</v>
      </c>
      <c r="J82" s="5"/>
      <c r="K82" s="5">
        <f>5951462+977453</f>
        <v>6928915</v>
      </c>
      <c r="L82" s="5"/>
      <c r="M82" s="5">
        <v>0</v>
      </c>
      <c r="N82" s="5"/>
      <c r="O82" s="5">
        <v>2435994</v>
      </c>
      <c r="P82" s="5"/>
      <c r="Q82" s="5">
        <v>1355055</v>
      </c>
      <c r="R82" s="5"/>
      <c r="S82" s="5">
        <v>1446193</v>
      </c>
      <c r="T82" s="5"/>
      <c r="U82" s="5">
        <v>66663</v>
      </c>
      <c r="V82" s="5"/>
      <c r="W82" s="5">
        <f t="shared" si="6"/>
        <v>19949362</v>
      </c>
      <c r="X82" s="5"/>
      <c r="Y82" s="5">
        <f t="shared" si="7"/>
        <v>50059987</v>
      </c>
    </row>
    <row r="83" spans="1:25" s="79" customFormat="1" ht="12.75">
      <c r="A83" s="1" t="s">
        <v>70</v>
      </c>
      <c r="B83" s="1"/>
      <c r="C83" s="5">
        <v>0</v>
      </c>
      <c r="D83" s="5"/>
      <c r="E83" s="5">
        <v>0</v>
      </c>
      <c r="F83" s="5"/>
      <c r="G83" s="5">
        <v>0</v>
      </c>
      <c r="H83" s="5"/>
      <c r="I83" s="5">
        <v>6590030</v>
      </c>
      <c r="J83" s="5"/>
      <c r="K83" s="5">
        <v>8744475</v>
      </c>
      <c r="L83" s="5"/>
      <c r="M83" s="5">
        <v>43000</v>
      </c>
      <c r="N83" s="5"/>
      <c r="O83" s="5">
        <v>31381982</v>
      </c>
      <c r="P83" s="5"/>
      <c r="Q83" s="5">
        <v>846745</v>
      </c>
      <c r="R83" s="5"/>
      <c r="S83" s="5">
        <f>5897925+373166+311584+21632+843272</f>
        <v>7447579</v>
      </c>
      <c r="T83" s="5"/>
      <c r="U83" s="5">
        <v>0</v>
      </c>
      <c r="V83" s="5"/>
      <c r="W83" s="5">
        <f t="shared" si="6"/>
        <v>55053811</v>
      </c>
      <c r="X83" s="5"/>
      <c r="Y83" s="5">
        <f t="shared" si="7"/>
        <v>55053811</v>
      </c>
    </row>
    <row r="84" spans="1:25" ht="12.75">
      <c r="A84" s="4" t="s">
        <v>71</v>
      </c>
      <c r="B84" s="4"/>
      <c r="C84" s="5">
        <v>5150473</v>
      </c>
      <c r="D84" s="5"/>
      <c r="E84" s="5">
        <v>17451539</v>
      </c>
      <c r="F84" s="5"/>
      <c r="G84" s="5">
        <v>5899651</v>
      </c>
      <c r="H84" s="5"/>
      <c r="I84" s="5">
        <v>6227385</v>
      </c>
      <c r="J84" s="5"/>
      <c r="K84" s="5">
        <v>6831027</v>
      </c>
      <c r="L84" s="5"/>
      <c r="M84" s="5">
        <v>0</v>
      </c>
      <c r="N84" s="5"/>
      <c r="O84" s="5">
        <f>2282860</f>
        <v>2282860</v>
      </c>
      <c r="P84" s="5"/>
      <c r="Q84" s="5">
        <v>1282950</v>
      </c>
      <c r="R84" s="5"/>
      <c r="S84" s="5">
        <f>963028+4448+6425</f>
        <v>973901</v>
      </c>
      <c r="T84" s="5"/>
      <c r="U84" s="5">
        <v>0</v>
      </c>
      <c r="V84" s="5"/>
      <c r="W84" s="5">
        <f t="shared" si="6"/>
        <v>17598123</v>
      </c>
      <c r="X84" s="5"/>
      <c r="Y84" s="5">
        <f t="shared" si="7"/>
        <v>46099786</v>
      </c>
    </row>
    <row r="85" spans="1:25" ht="12.75">
      <c r="A85" s="4" t="s">
        <v>72</v>
      </c>
      <c r="B85" s="4"/>
      <c r="C85" s="5">
        <v>6363367</v>
      </c>
      <c r="D85" s="5"/>
      <c r="E85" s="5">
        <v>14208222</v>
      </c>
      <c r="F85" s="5"/>
      <c r="G85" s="5">
        <v>0</v>
      </c>
      <c r="H85" s="5"/>
      <c r="I85" s="5">
        <f>2224989+4897454+448582</f>
        <v>7571025</v>
      </c>
      <c r="J85" s="5"/>
      <c r="K85" s="5">
        <f>141334+4015831+1338611+2679633</f>
        <v>8175409</v>
      </c>
      <c r="L85" s="5"/>
      <c r="M85" s="5">
        <v>0</v>
      </c>
      <c r="N85" s="5"/>
      <c r="O85" s="5">
        <v>2749566</v>
      </c>
      <c r="P85" s="5"/>
      <c r="Q85" s="5">
        <v>890654</v>
      </c>
      <c r="R85" s="5"/>
      <c r="S85" s="5">
        <f>18189+45122</f>
        <v>63311</v>
      </c>
      <c r="T85" s="5"/>
      <c r="U85" s="5">
        <v>-155000</v>
      </c>
      <c r="V85" s="5"/>
      <c r="W85" s="5">
        <f t="shared" si="6"/>
        <v>19294965</v>
      </c>
      <c r="X85" s="5"/>
      <c r="Y85" s="5">
        <f t="shared" si="7"/>
        <v>39866554</v>
      </c>
    </row>
    <row r="86" spans="1:25" ht="12.75">
      <c r="A86" s="4" t="s">
        <v>73</v>
      </c>
      <c r="B86" s="4"/>
      <c r="C86" s="5">
        <v>30979487</v>
      </c>
      <c r="D86" s="5"/>
      <c r="E86" s="5">
        <v>125543832</v>
      </c>
      <c r="F86" s="5"/>
      <c r="G86" s="5">
        <v>9313709</v>
      </c>
      <c r="H86" s="5"/>
      <c r="I86" s="5">
        <f>14181225+22074476+585534+5152576+9044770</f>
        <v>51038581</v>
      </c>
      <c r="J86" s="5"/>
      <c r="K86" s="5">
        <v>11536284</v>
      </c>
      <c r="L86" s="5"/>
      <c r="M86" s="5">
        <v>0</v>
      </c>
      <c r="N86" s="5"/>
      <c r="O86" s="5">
        <v>19938057</v>
      </c>
      <c r="P86" s="5"/>
      <c r="Q86" s="5">
        <v>5446884</v>
      </c>
      <c r="R86" s="5"/>
      <c r="S86" s="5">
        <f>172518+6475336</f>
        <v>6647854</v>
      </c>
      <c r="T86" s="5"/>
      <c r="U86" s="5">
        <v>0</v>
      </c>
      <c r="V86" s="5"/>
      <c r="W86" s="5">
        <f t="shared" si="6"/>
        <v>94607660</v>
      </c>
      <c r="X86" s="5"/>
      <c r="Y86" s="5">
        <f t="shared" si="7"/>
        <v>260444688</v>
      </c>
    </row>
    <row r="87" spans="1:25" ht="12.75">
      <c r="A87" s="4" t="s">
        <v>74</v>
      </c>
      <c r="B87" s="4"/>
      <c r="C87" s="5">
        <v>44068848</v>
      </c>
      <c r="D87" s="5"/>
      <c r="E87" s="5">
        <v>201242314</v>
      </c>
      <c r="F87" s="5"/>
      <c r="G87" s="5">
        <v>0</v>
      </c>
      <c r="H87" s="5"/>
      <c r="I87" s="5">
        <f>100646721+6951396</f>
        <v>107598117</v>
      </c>
      <c r="J87" s="5"/>
      <c r="K87" s="5">
        <f>36171206</f>
        <v>36171206</v>
      </c>
      <c r="L87" s="5"/>
      <c r="M87" s="5">
        <f>9550534+4003196</f>
        <v>13553730</v>
      </c>
      <c r="N87" s="5"/>
      <c r="O87" s="5">
        <v>23324511</v>
      </c>
      <c r="P87" s="5"/>
      <c r="Q87" s="5">
        <v>12848192</v>
      </c>
      <c r="R87" s="5"/>
      <c r="S87" s="5">
        <f>25056+364858</f>
        <v>389914</v>
      </c>
      <c r="T87" s="5"/>
      <c r="U87" s="5">
        <v>0</v>
      </c>
      <c r="V87" s="5"/>
      <c r="W87" s="5">
        <f t="shared" si="6"/>
        <v>193885670</v>
      </c>
      <c r="X87" s="5"/>
      <c r="Y87" s="5">
        <f t="shared" si="7"/>
        <v>439196832</v>
      </c>
    </row>
    <row r="88" spans="1:25" ht="12.75">
      <c r="A88" s="4" t="s">
        <v>75</v>
      </c>
      <c r="B88" s="4"/>
      <c r="C88" s="5">
        <v>14381071</v>
      </c>
      <c r="D88" s="5"/>
      <c r="E88" s="5">
        <v>80232223</v>
      </c>
      <c r="F88" s="5"/>
      <c r="G88" s="5">
        <v>1544553</v>
      </c>
      <c r="H88" s="5"/>
      <c r="I88" s="5">
        <f>8008236+13576941+3211166+7202381+458728+2454506</f>
        <v>34911958</v>
      </c>
      <c r="J88" s="5"/>
      <c r="K88" s="5">
        <f>17049795+2212574</f>
        <v>19262369</v>
      </c>
      <c r="L88" s="5"/>
      <c r="M88" s="5">
        <v>0</v>
      </c>
      <c r="N88" s="5"/>
      <c r="O88" s="5">
        <v>8645253</v>
      </c>
      <c r="P88" s="5"/>
      <c r="Q88" s="5">
        <v>4469583</v>
      </c>
      <c r="R88" s="5"/>
      <c r="S88" s="5">
        <f>30003+991495</f>
        <v>1021498</v>
      </c>
      <c r="T88" s="5"/>
      <c r="U88" s="5">
        <v>0</v>
      </c>
      <c r="V88" s="5"/>
      <c r="W88" s="5">
        <f t="shared" si="6"/>
        <v>68310661</v>
      </c>
      <c r="X88" s="5"/>
      <c r="Y88" s="5">
        <f t="shared" si="7"/>
        <v>164468508</v>
      </c>
    </row>
    <row r="89" spans="1:25" ht="12.75">
      <c r="A89" s="4" t="s">
        <v>76</v>
      </c>
      <c r="B89" s="4"/>
      <c r="C89" s="5">
        <v>7269899</v>
      </c>
      <c r="D89" s="5"/>
      <c r="E89" s="5">
        <v>23309344</v>
      </c>
      <c r="F89" s="5"/>
      <c r="G89" s="5">
        <v>1037728</v>
      </c>
      <c r="H89" s="5"/>
      <c r="I89" s="5">
        <f>4082112+4979808+808589+432949</f>
        <v>10303458</v>
      </c>
      <c r="J89" s="5"/>
      <c r="K89" s="5">
        <v>9319233</v>
      </c>
      <c r="L89" s="5"/>
      <c r="M89" s="5">
        <v>0</v>
      </c>
      <c r="N89" s="5"/>
      <c r="O89" s="5">
        <v>2296969</v>
      </c>
      <c r="P89" s="5"/>
      <c r="Q89" s="5">
        <v>2693128</v>
      </c>
      <c r="R89" s="5"/>
      <c r="S89" s="5">
        <v>1504947</v>
      </c>
      <c r="T89" s="5"/>
      <c r="U89" s="5">
        <v>0</v>
      </c>
      <c r="V89" s="5"/>
      <c r="W89" s="5">
        <f t="shared" si="6"/>
        <v>26117735</v>
      </c>
      <c r="X89" s="5"/>
      <c r="Y89" s="5">
        <f t="shared" si="7"/>
        <v>57734706</v>
      </c>
    </row>
    <row r="90" spans="1:25" ht="12.75">
      <c r="A90" s="4" t="s">
        <v>77</v>
      </c>
      <c r="B90" s="4"/>
      <c r="C90" s="5">
        <v>6501606</v>
      </c>
      <c r="D90" s="5"/>
      <c r="E90" s="5">
        <v>9345527</v>
      </c>
      <c r="F90" s="5"/>
      <c r="G90" s="5">
        <v>2582202</v>
      </c>
      <c r="H90" s="5"/>
      <c r="I90" s="5">
        <f>3934109+6333025+531341+444227</f>
        <v>11242702</v>
      </c>
      <c r="J90" s="5"/>
      <c r="K90" s="5">
        <v>7163499</v>
      </c>
      <c r="L90" s="5"/>
      <c r="M90" s="5">
        <v>0</v>
      </c>
      <c r="N90" s="5"/>
      <c r="O90" s="5">
        <v>9108618</v>
      </c>
      <c r="P90" s="5"/>
      <c r="Q90" s="5">
        <v>1542329</v>
      </c>
      <c r="R90" s="5"/>
      <c r="S90" s="5">
        <f>1362697</f>
        <v>1362697</v>
      </c>
      <c r="T90" s="5"/>
      <c r="U90" s="5">
        <v>0</v>
      </c>
      <c r="V90" s="5"/>
      <c r="W90" s="5">
        <f t="shared" si="6"/>
        <v>30419845</v>
      </c>
      <c r="X90" s="5"/>
      <c r="Y90" s="5">
        <f t="shared" si="7"/>
        <v>48849180</v>
      </c>
    </row>
    <row r="91" spans="1:25" ht="12.75">
      <c r="A91" s="4" t="s">
        <v>78</v>
      </c>
      <c r="B91" s="4"/>
      <c r="C91" s="5">
        <v>3191657</v>
      </c>
      <c r="D91" s="5"/>
      <c r="E91" s="5">
        <v>10590754</v>
      </c>
      <c r="F91" s="5"/>
      <c r="G91" s="5">
        <v>515458</v>
      </c>
      <c r="H91" s="5"/>
      <c r="I91" s="5">
        <f>973257+1576500+953356</f>
        <v>3503113</v>
      </c>
      <c r="J91" s="5"/>
      <c r="K91" s="5">
        <v>3753800</v>
      </c>
      <c r="L91" s="5"/>
      <c r="M91" s="5">
        <v>102225</v>
      </c>
      <c r="N91" s="5"/>
      <c r="O91" s="5">
        <v>947575</v>
      </c>
      <c r="P91" s="5"/>
      <c r="Q91" s="5">
        <v>489531</v>
      </c>
      <c r="R91" s="5"/>
      <c r="S91" s="5">
        <v>136932</v>
      </c>
      <c r="T91" s="5"/>
      <c r="U91" s="5">
        <v>0</v>
      </c>
      <c r="V91" s="5"/>
      <c r="W91" s="5">
        <f t="shared" si="6"/>
        <v>8933176</v>
      </c>
      <c r="X91" s="5"/>
      <c r="Y91" s="5">
        <f t="shared" si="7"/>
        <v>23231045</v>
      </c>
    </row>
    <row r="92" spans="1:25" ht="12.75">
      <c r="A92" s="4" t="s">
        <v>79</v>
      </c>
      <c r="B92" s="4"/>
      <c r="C92" s="5">
        <v>1892540</v>
      </c>
      <c r="D92" s="5"/>
      <c r="E92" s="5">
        <v>9956220</v>
      </c>
      <c r="F92" s="5"/>
      <c r="G92" s="5">
        <v>185829</v>
      </c>
      <c r="H92" s="5"/>
      <c r="I92" s="5">
        <f>590729+912529</f>
        <v>1503258</v>
      </c>
      <c r="J92" s="5"/>
      <c r="K92" s="5">
        <v>766476</v>
      </c>
      <c r="L92" s="5"/>
      <c r="M92" s="5">
        <v>0</v>
      </c>
      <c r="N92" s="5"/>
      <c r="O92" s="5">
        <v>317592</v>
      </c>
      <c r="P92" s="5"/>
      <c r="Q92" s="5">
        <v>125473</v>
      </c>
      <c r="R92" s="5"/>
      <c r="S92" s="5">
        <f>52600+1021456</f>
        <v>1074056</v>
      </c>
      <c r="T92" s="5"/>
      <c r="U92" s="5">
        <v>0</v>
      </c>
      <c r="V92" s="5"/>
      <c r="W92" s="5">
        <f t="shared" si="6"/>
        <v>3786855</v>
      </c>
      <c r="X92" s="5"/>
      <c r="Y92" s="5">
        <f t="shared" si="7"/>
        <v>15821444</v>
      </c>
    </row>
    <row r="93" spans="1:25" ht="12.75">
      <c r="A93" s="4" t="s">
        <v>80</v>
      </c>
      <c r="B93" s="4"/>
      <c r="C93" s="5">
        <v>16253166</v>
      </c>
      <c r="D93" s="5"/>
      <c r="E93" s="5">
        <v>16967683</v>
      </c>
      <c r="F93" s="5"/>
      <c r="G93" s="5">
        <v>4122575</v>
      </c>
      <c r="H93" s="5"/>
      <c r="I93" s="5">
        <v>35692314</v>
      </c>
      <c r="J93" s="5"/>
      <c r="K93" s="5">
        <v>24976708</v>
      </c>
      <c r="L93" s="5"/>
      <c r="M93" s="5">
        <f>216044+7868066</f>
        <v>8084110</v>
      </c>
      <c r="N93" s="5"/>
      <c r="O93" s="5">
        <v>7123976</v>
      </c>
      <c r="P93" s="5"/>
      <c r="Q93" s="5">
        <v>6979186</v>
      </c>
      <c r="R93" s="5"/>
      <c r="S93" s="5">
        <v>14021</v>
      </c>
      <c r="T93" s="5"/>
      <c r="U93" s="5">
        <v>0</v>
      </c>
      <c r="V93" s="5"/>
      <c r="W93" s="5">
        <f t="shared" si="6"/>
        <v>82870315</v>
      </c>
      <c r="X93" s="5"/>
      <c r="Y93" s="5">
        <f t="shared" si="7"/>
        <v>120213739</v>
      </c>
    </row>
    <row r="94" spans="1:25" ht="12.75">
      <c r="A94" s="4" t="s">
        <v>81</v>
      </c>
      <c r="B94" s="4"/>
      <c r="C94" s="5">
        <v>5602844</v>
      </c>
      <c r="D94" s="5"/>
      <c r="E94" s="5">
        <v>27128614</v>
      </c>
      <c r="F94" s="5"/>
      <c r="G94" s="5">
        <v>1977670</v>
      </c>
      <c r="H94" s="5"/>
      <c r="I94" s="5">
        <f>2620820+2118642+3553315+756434+203611</f>
        <v>9252822</v>
      </c>
      <c r="J94" s="5"/>
      <c r="K94" s="5">
        <v>9411202</v>
      </c>
      <c r="L94" s="5"/>
      <c r="M94" s="5">
        <v>0</v>
      </c>
      <c r="N94" s="5"/>
      <c r="O94" s="5">
        <v>1748523</v>
      </c>
      <c r="P94" s="5"/>
      <c r="Q94" s="5">
        <v>737745</v>
      </c>
      <c r="R94" s="5"/>
      <c r="S94" s="5">
        <f>79467+484793</f>
        <v>564260</v>
      </c>
      <c r="T94" s="5"/>
      <c r="U94" s="5">
        <v>0</v>
      </c>
      <c r="V94" s="5"/>
      <c r="W94" s="5">
        <f t="shared" si="6"/>
        <v>21714552</v>
      </c>
      <c r="X94" s="5"/>
      <c r="Y94" s="5">
        <f t="shared" si="7"/>
        <v>56423680</v>
      </c>
    </row>
    <row r="95" spans="1:25" ht="12.75">
      <c r="A95" s="4" t="s">
        <v>82</v>
      </c>
      <c r="B95" s="4"/>
      <c r="C95" s="5">
        <v>13358652</v>
      </c>
      <c r="D95" s="5"/>
      <c r="E95" s="5">
        <v>25832732</v>
      </c>
      <c r="F95" s="5"/>
      <c r="G95" s="5">
        <v>2859525</v>
      </c>
      <c r="H95" s="5"/>
      <c r="I95" s="5">
        <f>4073625+6771032+3882756+1183746</f>
        <v>15911159</v>
      </c>
      <c r="J95" s="5"/>
      <c r="K95" s="5">
        <v>9522787</v>
      </c>
      <c r="L95" s="5"/>
      <c r="M95" s="5">
        <v>0</v>
      </c>
      <c r="N95" s="5"/>
      <c r="O95" s="5">
        <v>4407494</v>
      </c>
      <c r="P95" s="5"/>
      <c r="Q95" s="5">
        <v>2379412</v>
      </c>
      <c r="R95" s="5"/>
      <c r="S95" s="5">
        <v>621336</v>
      </c>
      <c r="T95" s="5"/>
      <c r="U95" s="5">
        <v>277787</v>
      </c>
      <c r="V95" s="5"/>
      <c r="W95" s="5">
        <f t="shared" si="6"/>
        <v>33119975</v>
      </c>
      <c r="X95" s="5"/>
      <c r="Y95" s="5">
        <f t="shared" si="7"/>
        <v>75170884</v>
      </c>
    </row>
    <row r="96" spans="1:25" ht="12.75" hidden="1">
      <c r="A96" s="4" t="s">
        <v>174</v>
      </c>
      <c r="B96" s="4"/>
      <c r="C96" s="5">
        <v>0</v>
      </c>
      <c r="D96" s="5"/>
      <c r="E96" s="5">
        <v>0</v>
      </c>
      <c r="F96" s="5"/>
      <c r="G96" s="5">
        <v>0</v>
      </c>
      <c r="H96" s="5"/>
      <c r="I96" s="5">
        <v>0</v>
      </c>
      <c r="J96" s="5"/>
      <c r="K96" s="5">
        <v>0</v>
      </c>
      <c r="L96" s="5"/>
      <c r="M96" s="5">
        <v>0</v>
      </c>
      <c r="N96" s="5"/>
      <c r="O96" s="5">
        <v>0</v>
      </c>
      <c r="P96" s="5"/>
      <c r="Q96" s="5">
        <v>0</v>
      </c>
      <c r="R96" s="5"/>
      <c r="S96" s="5">
        <v>0</v>
      </c>
      <c r="T96" s="5"/>
      <c r="U96" s="5">
        <v>0</v>
      </c>
      <c r="V96" s="5"/>
      <c r="W96" s="5">
        <f t="shared" si="6"/>
        <v>0</v>
      </c>
      <c r="X96" s="5"/>
      <c r="Y96" s="5">
        <f t="shared" si="7"/>
        <v>0</v>
      </c>
    </row>
    <row r="97" spans="1:25" ht="12.75">
      <c r="A97" s="4" t="s">
        <v>83</v>
      </c>
      <c r="B97" s="4"/>
      <c r="C97" s="5">
        <v>22671055</v>
      </c>
      <c r="D97" s="5"/>
      <c r="E97" s="5">
        <v>35247914</v>
      </c>
      <c r="F97" s="5"/>
      <c r="G97" s="5">
        <v>185552</v>
      </c>
      <c r="H97" s="5"/>
      <c r="I97" s="5">
        <f>6228901+5729160+2449768+11340509+1638990+133073</f>
        <v>27520401</v>
      </c>
      <c r="J97" s="5"/>
      <c r="K97" s="5">
        <v>14809637</v>
      </c>
      <c r="L97" s="5"/>
      <c r="M97" s="5">
        <v>146269</v>
      </c>
      <c r="N97" s="5"/>
      <c r="O97" s="5">
        <v>3316695</v>
      </c>
      <c r="P97" s="5"/>
      <c r="Q97" s="5">
        <v>4524150</v>
      </c>
      <c r="R97" s="5"/>
      <c r="S97" s="5">
        <v>1029350</v>
      </c>
      <c r="T97" s="5"/>
      <c r="U97" s="5">
        <v>0</v>
      </c>
      <c r="V97" s="5"/>
      <c r="W97" s="5">
        <f t="shared" si="6"/>
        <v>51346502</v>
      </c>
      <c r="X97" s="5"/>
      <c r="Y97" s="5">
        <f t="shared" si="7"/>
        <v>109451023</v>
      </c>
    </row>
    <row r="98" spans="1:25" ht="12.75" hidden="1">
      <c r="A98" s="4" t="s">
        <v>175</v>
      </c>
      <c r="B98" s="4"/>
      <c r="C98" s="5">
        <v>0</v>
      </c>
      <c r="D98" s="5"/>
      <c r="E98" s="5">
        <v>0</v>
      </c>
      <c r="F98" s="5"/>
      <c r="G98" s="5">
        <v>0</v>
      </c>
      <c r="H98" s="5"/>
      <c r="I98" s="5">
        <v>0</v>
      </c>
      <c r="J98" s="5"/>
      <c r="K98" s="5">
        <v>0</v>
      </c>
      <c r="L98" s="5"/>
      <c r="M98" s="5">
        <v>0</v>
      </c>
      <c r="N98" s="5"/>
      <c r="O98" s="5">
        <v>0</v>
      </c>
      <c r="P98" s="5"/>
      <c r="Q98" s="5">
        <v>0</v>
      </c>
      <c r="R98" s="5"/>
      <c r="S98" s="5">
        <v>0</v>
      </c>
      <c r="T98" s="5"/>
      <c r="U98" s="5">
        <v>0</v>
      </c>
      <c r="V98" s="5"/>
      <c r="W98" s="5">
        <f>SUM(I98:U98)</f>
        <v>0</v>
      </c>
      <c r="X98" s="5"/>
      <c r="Y98" s="5">
        <f>SUM(B98:V98)</f>
        <v>0</v>
      </c>
    </row>
    <row r="99" spans="1:25" ht="12.75">
      <c r="A99" s="4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.75">
      <c r="A100" s="4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.75">
      <c r="A101" s="15"/>
      <c r="B101" s="1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.75">
      <c r="A102" s="15"/>
      <c r="B102" s="1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</sheetData>
  <printOptions/>
  <pageMargins left="0.75" right="0.75" top="0.5" bottom="0.5" header="0" footer="0.25"/>
  <pageSetup firstPageNumber="8" useFirstPageNumber="1" horizontalDpi="600" verticalDpi="600" orientation="portrait" pageOrder="overThenDown" scale="95" r:id="rId1"/>
  <headerFooter alignWithMargins="0">
    <oddFooter>&amp;C&amp;"Times New Roman,Regular"&amp;11&amp;P</oddFooter>
  </headerFooter>
  <rowBreaks count="1" manualBreakCount="1">
    <brk id="80" max="24" man="1"/>
  </rowBreaks>
  <colBreaks count="1" manualBreakCount="1">
    <brk id="13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G109"/>
  <sheetViews>
    <sheetView zoomScaleSheetLayoutView="100" workbookViewId="0" topLeftCell="A1">
      <pane xSplit="1" ySplit="8" topLeftCell="B4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5" sqref="A5"/>
    </sheetView>
  </sheetViews>
  <sheetFormatPr defaultColWidth="9.140625" defaultRowHeight="12.75"/>
  <cols>
    <col min="1" max="1" width="15.7109375" style="78" customWidth="1"/>
    <col min="2" max="2" width="1.7109375" style="78" customWidth="1"/>
    <col min="3" max="3" width="11.7109375" style="78" customWidth="1"/>
    <col min="4" max="4" width="1.7109375" style="78" customWidth="1"/>
    <col min="5" max="5" width="11.7109375" style="78" customWidth="1"/>
    <col min="6" max="6" width="1.7109375" style="78" customWidth="1"/>
    <col min="7" max="7" width="11.7109375" style="78" customWidth="1"/>
    <col min="8" max="8" width="1.7109375" style="78" customWidth="1"/>
    <col min="9" max="9" width="11.7109375" style="78" customWidth="1"/>
    <col min="10" max="10" width="1.7109375" style="78" customWidth="1"/>
    <col min="11" max="11" width="11.7109375" style="78" customWidth="1"/>
    <col min="12" max="12" width="1.7109375" style="78" customWidth="1"/>
    <col min="13" max="13" width="11.7109375" style="78" customWidth="1"/>
    <col min="14" max="14" width="1.7109375" style="78" customWidth="1"/>
    <col min="15" max="15" width="11.7109375" style="78" customWidth="1"/>
    <col min="16" max="16" width="1.7109375" style="78" customWidth="1"/>
    <col min="17" max="17" width="11.7109375" style="78" customWidth="1"/>
    <col min="18" max="18" width="1.7109375" style="78" customWidth="1"/>
    <col min="19" max="19" width="11.7109375" style="78" customWidth="1"/>
    <col min="20" max="20" width="1.7109375" style="78" customWidth="1"/>
    <col min="21" max="21" width="11.7109375" style="78" customWidth="1"/>
    <col min="22" max="22" width="1.7109375" style="78" customWidth="1"/>
    <col min="23" max="23" width="11.7109375" style="78" customWidth="1"/>
    <col min="24" max="24" width="1.7109375" style="78" customWidth="1"/>
    <col min="25" max="25" width="11.7109375" style="78" customWidth="1"/>
    <col min="26" max="26" width="2.7109375" style="78" customWidth="1"/>
    <col min="27" max="27" width="12.7109375" style="78" customWidth="1"/>
    <col min="28" max="28" width="2.7109375" style="78" customWidth="1"/>
    <col min="29" max="29" width="12.7109375" style="78" customWidth="1"/>
    <col min="30" max="30" width="2.7109375" style="78" customWidth="1"/>
    <col min="31" max="32" width="12.7109375" style="78" customWidth="1"/>
    <col min="33" max="33" width="9.8515625" style="78" bestFit="1" customWidth="1"/>
    <col min="34" max="16384" width="9.140625" style="78" customWidth="1"/>
  </cols>
  <sheetData>
    <row r="1" spans="1:33" ht="12.75">
      <c r="A1" s="28" t="s">
        <v>242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11"/>
      <c r="AG1" s="11"/>
    </row>
    <row r="2" spans="1:33" ht="12.75">
      <c r="A2" s="28" t="s">
        <v>248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11"/>
      <c r="AG2" s="11"/>
    </row>
    <row r="3" spans="1:33" ht="12.75">
      <c r="A3" s="28" t="s">
        <v>187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1"/>
      <c r="AG3" s="11"/>
    </row>
    <row r="4" spans="1:33" ht="12.75">
      <c r="A4" s="15" t="s">
        <v>261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1"/>
      <c r="AG4" s="11"/>
    </row>
    <row r="5" spans="1:33" ht="12.75">
      <c r="A5" s="28"/>
      <c r="B5" s="5"/>
      <c r="C5" s="29" t="s">
        <v>146</v>
      </c>
      <c r="D5" s="29"/>
      <c r="E5" s="29"/>
      <c r="F5" s="29"/>
      <c r="G5" s="29"/>
      <c r="H5" s="29"/>
      <c r="I5" s="29"/>
      <c r="J5" s="29"/>
      <c r="K5" s="29"/>
      <c r="L5" s="33" t="s">
        <v>197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5"/>
      <c r="Z5" s="5"/>
      <c r="AA5" s="5"/>
      <c r="AB5" s="5"/>
      <c r="AC5" s="5"/>
      <c r="AD5" s="5"/>
      <c r="AE5" s="5"/>
      <c r="AF5" s="11"/>
      <c r="AG5" s="11"/>
    </row>
    <row r="6" spans="1:33" ht="12.75">
      <c r="A6" s="8"/>
      <c r="B6" s="5"/>
      <c r="C6" s="9" t="s">
        <v>188</v>
      </c>
      <c r="D6" s="9"/>
      <c r="E6" s="9"/>
      <c r="F6" s="9"/>
      <c r="G6" s="9" t="s">
        <v>84</v>
      </c>
      <c r="H6" s="9"/>
      <c r="I6" s="9" t="s">
        <v>84</v>
      </c>
      <c r="J6" s="9"/>
      <c r="K6" s="9"/>
      <c r="L6" s="9"/>
      <c r="M6" s="9" t="s">
        <v>85</v>
      </c>
      <c r="N6" s="9"/>
      <c r="O6" s="9" t="s">
        <v>165</v>
      </c>
      <c r="P6" s="9"/>
      <c r="Q6" s="9" t="s">
        <v>86</v>
      </c>
      <c r="R6" s="9"/>
      <c r="S6" s="9"/>
      <c r="T6" s="9"/>
      <c r="U6" s="9" t="s">
        <v>1</v>
      </c>
      <c r="V6" s="9"/>
      <c r="W6" s="31" t="s">
        <v>100</v>
      </c>
      <c r="X6" s="31"/>
      <c r="Y6" s="31"/>
      <c r="Z6" s="31"/>
      <c r="AA6" s="31" t="s">
        <v>150</v>
      </c>
      <c r="AB6" s="31"/>
      <c r="AC6" s="31" t="s">
        <v>138</v>
      </c>
      <c r="AD6" s="31"/>
      <c r="AE6" s="31" t="s">
        <v>138</v>
      </c>
      <c r="AF6" s="11"/>
      <c r="AG6" s="11"/>
    </row>
    <row r="7" spans="1:33" ht="12.75">
      <c r="A7" s="32" t="s">
        <v>5</v>
      </c>
      <c r="B7" s="5"/>
      <c r="C7" s="34" t="s">
        <v>189</v>
      </c>
      <c r="D7" s="5"/>
      <c r="E7" s="34" t="s">
        <v>88</v>
      </c>
      <c r="F7" s="5"/>
      <c r="G7" s="34" t="s">
        <v>89</v>
      </c>
      <c r="H7" s="5"/>
      <c r="I7" s="34" t="s">
        <v>90</v>
      </c>
      <c r="J7" s="5"/>
      <c r="K7" s="34" t="s">
        <v>91</v>
      </c>
      <c r="L7" s="5"/>
      <c r="M7" s="34" t="s">
        <v>8</v>
      </c>
      <c r="N7" s="5"/>
      <c r="O7" s="34" t="s">
        <v>166</v>
      </c>
      <c r="P7" s="5"/>
      <c r="Q7" s="34" t="s">
        <v>192</v>
      </c>
      <c r="R7" s="5"/>
      <c r="S7" s="34" t="s">
        <v>105</v>
      </c>
      <c r="T7" s="5"/>
      <c r="U7" s="34" t="s">
        <v>9</v>
      </c>
      <c r="V7" s="5"/>
      <c r="W7" s="2" t="s">
        <v>95</v>
      </c>
      <c r="X7" s="5"/>
      <c r="Y7" s="2" t="s">
        <v>4</v>
      </c>
      <c r="Z7" s="5"/>
      <c r="AA7" s="2" t="s">
        <v>138</v>
      </c>
      <c r="AB7" s="5"/>
      <c r="AC7" s="35">
        <v>38718</v>
      </c>
      <c r="AD7" s="5"/>
      <c r="AE7" s="35">
        <v>39082</v>
      </c>
      <c r="AF7" s="11" t="s">
        <v>212</v>
      </c>
      <c r="AG7" s="11"/>
    </row>
    <row r="8" spans="1:33" ht="12.75">
      <c r="A8" s="8"/>
      <c r="B8" s="5"/>
      <c r="C8" s="9"/>
      <c r="D8" s="5"/>
      <c r="E8" s="9"/>
      <c r="F8" s="5"/>
      <c r="G8" s="9"/>
      <c r="H8" s="5"/>
      <c r="I8" s="9"/>
      <c r="J8" s="5"/>
      <c r="K8" s="9"/>
      <c r="L8" s="5"/>
      <c r="M8" s="9"/>
      <c r="N8" s="5"/>
      <c r="O8" s="9"/>
      <c r="P8" s="5"/>
      <c r="Q8" s="9"/>
      <c r="R8" s="5"/>
      <c r="S8" s="9"/>
      <c r="T8" s="5"/>
      <c r="U8" s="9"/>
      <c r="V8" s="5"/>
      <c r="W8" s="3"/>
      <c r="X8" s="5"/>
      <c r="Y8" s="3"/>
      <c r="Z8" s="5"/>
      <c r="AA8" s="3"/>
      <c r="AB8" s="5"/>
      <c r="AC8" s="10"/>
      <c r="AD8" s="5"/>
      <c r="AE8" s="10"/>
      <c r="AF8" s="11"/>
      <c r="AG8" s="11"/>
    </row>
    <row r="9" spans="1:33" ht="12.75" hidden="1">
      <c r="A9" s="76" t="s">
        <v>251</v>
      </c>
      <c r="B9" s="5"/>
      <c r="C9" s="26">
        <v>0</v>
      </c>
      <c r="D9" s="26"/>
      <c r="E9" s="26">
        <v>0</v>
      </c>
      <c r="F9" s="26"/>
      <c r="G9" s="26">
        <v>0</v>
      </c>
      <c r="H9" s="26"/>
      <c r="I9" s="26">
        <v>0</v>
      </c>
      <c r="J9" s="26"/>
      <c r="K9" s="26">
        <v>0</v>
      </c>
      <c r="L9" s="26"/>
      <c r="M9" s="26">
        <v>0</v>
      </c>
      <c r="N9" s="26"/>
      <c r="O9" s="26">
        <v>0</v>
      </c>
      <c r="P9" s="26"/>
      <c r="Q9" s="26">
        <v>0</v>
      </c>
      <c r="R9" s="26"/>
      <c r="S9" s="26">
        <v>0</v>
      </c>
      <c r="T9" s="26"/>
      <c r="U9" s="26">
        <v>0</v>
      </c>
      <c r="V9" s="26"/>
      <c r="W9" s="26">
        <v>0</v>
      </c>
      <c r="X9" s="26"/>
      <c r="Y9" s="26">
        <f>SUM(C9:W9)</f>
        <v>0</v>
      </c>
      <c r="Z9" s="5"/>
      <c r="AA9" s="26">
        <v>0</v>
      </c>
      <c r="AB9" s="5"/>
      <c r="AC9" s="26">
        <v>0</v>
      </c>
      <c r="AD9" s="5"/>
      <c r="AE9" s="5">
        <f>+AC9+AA9</f>
        <v>0</v>
      </c>
      <c r="AF9" s="6">
        <f>+'St of Net Assets - GA'!W9-'St of Activities - GA Exp'!AE9</f>
        <v>0</v>
      </c>
      <c r="AG9" s="11"/>
    </row>
    <row r="10" spans="1:33" ht="12.75">
      <c r="A10" s="4" t="s">
        <v>13</v>
      </c>
      <c r="B10" s="5"/>
      <c r="C10" s="26">
        <v>15074981</v>
      </c>
      <c r="D10" s="26"/>
      <c r="E10" s="26">
        <v>8608924</v>
      </c>
      <c r="F10" s="26"/>
      <c r="G10" s="26">
        <v>10333916</v>
      </c>
      <c r="H10" s="26"/>
      <c r="I10" s="26">
        <v>10348929</v>
      </c>
      <c r="J10" s="26"/>
      <c r="K10" s="26">
        <f>11245072+468092</f>
        <v>11713164</v>
      </c>
      <c r="L10" s="26"/>
      <c r="M10" s="26">
        <f>12518630+6035647+876387</f>
        <v>19430664</v>
      </c>
      <c r="N10" s="26"/>
      <c r="O10" s="26">
        <v>0</v>
      </c>
      <c r="P10" s="26"/>
      <c r="Q10" s="26">
        <v>2038955</v>
      </c>
      <c r="R10" s="26"/>
      <c r="S10" s="26">
        <v>166413</v>
      </c>
      <c r="T10" s="26"/>
      <c r="U10" s="26">
        <v>194523</v>
      </c>
      <c r="V10" s="26"/>
      <c r="W10" s="26">
        <v>1265706</v>
      </c>
      <c r="X10" s="26"/>
      <c r="Y10" s="26">
        <f>SUM(C10:W10)</f>
        <v>79176175</v>
      </c>
      <c r="Z10" s="5"/>
      <c r="AA10" s="26">
        <v>1056936</v>
      </c>
      <c r="AB10" s="5"/>
      <c r="AC10" s="26">
        <v>74565562</v>
      </c>
      <c r="AD10" s="5"/>
      <c r="AE10" s="26">
        <f>+AC10+AA10</f>
        <v>75622498</v>
      </c>
      <c r="AF10" s="6">
        <f>+'St of Net Assets - GA'!W10-'St of Activities - GA Exp'!AE10</f>
        <v>0</v>
      </c>
      <c r="AG10" s="11"/>
    </row>
    <row r="11" spans="1:33" ht="12.75">
      <c r="A11" s="4" t="s">
        <v>14</v>
      </c>
      <c r="B11" s="5"/>
      <c r="C11" s="5">
        <f>5628218+133036</f>
        <v>5761254</v>
      </c>
      <c r="D11" s="5"/>
      <c r="E11" s="5">
        <v>1566778</v>
      </c>
      <c r="F11" s="5"/>
      <c r="G11" s="5">
        <f>5905754+316435</f>
        <v>6222189</v>
      </c>
      <c r="H11" s="5"/>
      <c r="I11" s="5">
        <f>4345636</f>
        <v>4345636</v>
      </c>
      <c r="J11" s="5"/>
      <c r="K11" s="5">
        <f>4327876+5390478+474466</f>
        <v>10192820</v>
      </c>
      <c r="L11" s="5"/>
      <c r="M11" s="5">
        <f>1327512+3797635+1495194</f>
        <v>6620341</v>
      </c>
      <c r="N11" s="5"/>
      <c r="O11" s="5">
        <v>0</v>
      </c>
      <c r="P11" s="5"/>
      <c r="Q11" s="5">
        <v>62877</v>
      </c>
      <c r="R11" s="5"/>
      <c r="S11" s="5">
        <v>0</v>
      </c>
      <c r="T11" s="5"/>
      <c r="U11" s="5">
        <v>235135</v>
      </c>
      <c r="V11" s="5"/>
      <c r="W11" s="5">
        <v>238162</v>
      </c>
      <c r="X11" s="5"/>
      <c r="Y11" s="5">
        <f aca="true" t="shared" si="0" ref="Y11:Y27">SUM(C11:W11)</f>
        <v>35245192</v>
      </c>
      <c r="Z11" s="5"/>
      <c r="AA11" s="5">
        <v>1860238</v>
      </c>
      <c r="AB11" s="5"/>
      <c r="AC11" s="5">
        <v>57496174</v>
      </c>
      <c r="AD11" s="5"/>
      <c r="AE11" s="5">
        <f aca="true" t="shared" si="1" ref="AE11:AE27">+AC11+AA11</f>
        <v>59356412</v>
      </c>
      <c r="AF11" s="6">
        <f>+'St of Net Assets - GA'!W11-'St of Activities - GA Exp'!AE11</f>
        <v>0</v>
      </c>
      <c r="AG11" s="11"/>
    </row>
    <row r="12" spans="1:33" ht="12.75">
      <c r="A12" s="4" t="s">
        <v>15</v>
      </c>
      <c r="B12" s="5"/>
      <c r="C12" s="5">
        <v>8382475</v>
      </c>
      <c r="D12" s="5"/>
      <c r="E12" s="5">
        <v>3612965</v>
      </c>
      <c r="F12" s="5"/>
      <c r="G12" s="5">
        <v>8418323</v>
      </c>
      <c r="H12" s="5"/>
      <c r="I12" s="5">
        <v>8491954</v>
      </c>
      <c r="J12" s="5"/>
      <c r="K12" s="5">
        <v>24550493</v>
      </c>
      <c r="L12" s="5"/>
      <c r="M12" s="5">
        <v>36172084</v>
      </c>
      <c r="N12" s="5"/>
      <c r="O12" s="5">
        <v>0</v>
      </c>
      <c r="P12" s="5"/>
      <c r="Q12" s="5">
        <v>341995</v>
      </c>
      <c r="R12" s="5"/>
      <c r="S12" s="5">
        <v>7112464</v>
      </c>
      <c r="T12" s="5"/>
      <c r="U12" s="5">
        <v>0</v>
      </c>
      <c r="V12" s="5"/>
      <c r="W12" s="5">
        <v>323881</v>
      </c>
      <c r="X12" s="5"/>
      <c r="Y12" s="5">
        <f t="shared" si="0"/>
        <v>97406634</v>
      </c>
      <c r="Z12" s="5"/>
      <c r="AA12" s="5">
        <v>4986750</v>
      </c>
      <c r="AB12" s="5"/>
      <c r="AC12" s="5">
        <v>164971225</v>
      </c>
      <c r="AD12" s="5"/>
      <c r="AE12" s="5">
        <f t="shared" si="1"/>
        <v>169957975</v>
      </c>
      <c r="AF12" s="6">
        <f>+'St of Net Assets - GA'!W12-'St of Activities - GA Exp'!AE12</f>
        <v>0</v>
      </c>
      <c r="AG12" s="11"/>
    </row>
    <row r="13" spans="1:33" ht="12.75">
      <c r="A13" s="4" t="s">
        <v>16</v>
      </c>
      <c r="B13" s="5"/>
      <c r="C13" s="5">
        <v>5576461</v>
      </c>
      <c r="D13" s="5"/>
      <c r="E13" s="5">
        <v>2478678</v>
      </c>
      <c r="F13" s="5"/>
      <c r="G13" s="5">
        <v>4486230</v>
      </c>
      <c r="H13" s="5"/>
      <c r="I13" s="5">
        <v>7348230</v>
      </c>
      <c r="J13" s="5"/>
      <c r="K13" s="5">
        <v>2401961</v>
      </c>
      <c r="L13" s="5"/>
      <c r="M13" s="5">
        <v>27987996</v>
      </c>
      <c r="N13" s="5"/>
      <c r="O13" s="5">
        <v>213883</v>
      </c>
      <c r="P13" s="5"/>
      <c r="Q13" s="5">
        <v>21345</v>
      </c>
      <c r="R13" s="5"/>
      <c r="S13" s="5">
        <v>0</v>
      </c>
      <c r="T13" s="5"/>
      <c r="U13" s="5">
        <v>0</v>
      </c>
      <c r="V13" s="5"/>
      <c r="W13" s="5">
        <v>177726</v>
      </c>
      <c r="X13" s="5"/>
      <c r="Y13" s="5">
        <f t="shared" si="0"/>
        <v>50692510</v>
      </c>
      <c r="Z13" s="5"/>
      <c r="AA13" s="5">
        <v>3924728</v>
      </c>
      <c r="AB13" s="5"/>
      <c r="AC13" s="5">
        <v>76114061</v>
      </c>
      <c r="AD13" s="5"/>
      <c r="AE13" s="5">
        <f t="shared" si="1"/>
        <v>80038789</v>
      </c>
      <c r="AF13" s="6">
        <f>+'St of Net Assets - GA'!W13-'St of Activities - GA Exp'!AE13</f>
        <v>0</v>
      </c>
      <c r="AG13" s="11"/>
    </row>
    <row r="14" spans="1:33" ht="12.75">
      <c r="A14" s="4" t="s">
        <v>17</v>
      </c>
      <c r="B14" s="5"/>
      <c r="C14" s="5">
        <v>4723378</v>
      </c>
      <c r="D14" s="5"/>
      <c r="E14" s="5">
        <v>1858108</v>
      </c>
      <c r="F14" s="5"/>
      <c r="G14" s="5">
        <v>5535535</v>
      </c>
      <c r="H14" s="5"/>
      <c r="I14" s="5">
        <v>3663440</v>
      </c>
      <c r="J14" s="5"/>
      <c r="K14" s="5">
        <v>5429020</v>
      </c>
      <c r="L14" s="5"/>
      <c r="M14" s="5">
        <v>4527976</v>
      </c>
      <c r="N14" s="5"/>
      <c r="O14" s="5">
        <v>0</v>
      </c>
      <c r="P14" s="5"/>
      <c r="Q14" s="5">
        <v>0</v>
      </c>
      <c r="R14" s="5"/>
      <c r="S14" s="5">
        <v>1218060</v>
      </c>
      <c r="T14" s="5"/>
      <c r="U14" s="5">
        <v>0</v>
      </c>
      <c r="V14" s="5"/>
      <c r="W14" s="5">
        <v>145228</v>
      </c>
      <c r="X14" s="5"/>
      <c r="Y14" s="5">
        <f t="shared" si="0"/>
        <v>27100745</v>
      </c>
      <c r="Z14" s="5"/>
      <c r="AA14" s="5">
        <v>2813434</v>
      </c>
      <c r="AB14" s="5"/>
      <c r="AC14" s="5">
        <v>70396884</v>
      </c>
      <c r="AD14" s="5"/>
      <c r="AE14" s="5">
        <f t="shared" si="1"/>
        <v>73210318</v>
      </c>
      <c r="AF14" s="6">
        <f>+'St of Net Assets - GA'!W14-'St of Activities - GA Exp'!AE14</f>
        <v>0</v>
      </c>
      <c r="AG14" s="11"/>
    </row>
    <row r="15" spans="1:33" ht="12.75">
      <c r="A15" s="4" t="s">
        <v>18</v>
      </c>
      <c r="B15" s="5"/>
      <c r="C15" s="5">
        <v>8644964</v>
      </c>
      <c r="D15" s="5"/>
      <c r="E15" s="5">
        <v>3204286</v>
      </c>
      <c r="F15" s="5"/>
      <c r="G15" s="5">
        <v>8545138</v>
      </c>
      <c r="H15" s="5"/>
      <c r="I15" s="5">
        <v>8385957</v>
      </c>
      <c r="J15" s="5"/>
      <c r="K15" s="5">
        <v>10104816</v>
      </c>
      <c r="L15" s="5"/>
      <c r="M15" s="5">
        <v>20676907</v>
      </c>
      <c r="N15" s="5"/>
      <c r="O15" s="5">
        <v>270011</v>
      </c>
      <c r="P15" s="5"/>
      <c r="Q15" s="5">
        <v>0</v>
      </c>
      <c r="R15" s="5"/>
      <c r="S15" s="5">
        <v>0</v>
      </c>
      <c r="T15" s="5"/>
      <c r="U15" s="5">
        <v>1438157</v>
      </c>
      <c r="V15" s="5"/>
      <c r="W15" s="5">
        <v>487933</v>
      </c>
      <c r="X15" s="5"/>
      <c r="Y15" s="5">
        <f t="shared" si="0"/>
        <v>61758169</v>
      </c>
      <c r="Z15" s="5"/>
      <c r="AA15" s="5">
        <v>-376094</v>
      </c>
      <c r="AB15" s="5"/>
      <c r="AC15" s="5">
        <v>89553017</v>
      </c>
      <c r="AD15" s="5"/>
      <c r="AE15" s="5">
        <f>+AC15+AA15</f>
        <v>89176923</v>
      </c>
      <c r="AF15" s="6">
        <f>+'St of Net Assets - GA'!W15-'St of Activities - GA Exp'!AE15</f>
        <v>0</v>
      </c>
      <c r="AG15" s="11"/>
    </row>
    <row r="16" spans="1:33" ht="12.75" hidden="1">
      <c r="A16" s="4" t="s">
        <v>254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t="shared" si="0"/>
        <v>0</v>
      </c>
      <c r="Z16" s="5"/>
      <c r="AA16" s="5"/>
      <c r="AB16" s="5"/>
      <c r="AC16" s="5"/>
      <c r="AD16" s="5"/>
      <c r="AE16" s="5">
        <f t="shared" si="1"/>
        <v>0</v>
      </c>
      <c r="AF16" s="6">
        <f>+'St of Net Assets - GA'!W16-'St of Activities - GA Exp'!AE16</f>
        <v>0</v>
      </c>
      <c r="AG16" s="11"/>
    </row>
    <row r="17" spans="1:33" ht="12.75">
      <c r="A17" s="4" t="s">
        <v>19</v>
      </c>
      <c r="B17" s="5"/>
      <c r="C17" s="5">
        <v>31211969</v>
      </c>
      <c r="D17" s="5"/>
      <c r="E17" s="5">
        <v>15952902</v>
      </c>
      <c r="F17" s="5"/>
      <c r="G17" s="5">
        <v>44865490</v>
      </c>
      <c r="H17" s="5"/>
      <c r="I17" s="5">
        <v>20803499</v>
      </c>
      <c r="J17" s="5"/>
      <c r="K17" s="5">
        <v>56672547</v>
      </c>
      <c r="L17" s="5"/>
      <c r="M17" s="5">
        <v>82199251</v>
      </c>
      <c r="N17" s="5"/>
      <c r="O17" s="5">
        <v>0</v>
      </c>
      <c r="P17" s="5"/>
      <c r="Q17" s="5">
        <v>589151</v>
      </c>
      <c r="R17" s="5"/>
      <c r="S17" s="5">
        <v>0</v>
      </c>
      <c r="T17" s="5"/>
      <c r="U17" s="5">
        <v>0</v>
      </c>
      <c r="V17" s="5"/>
      <c r="W17" s="5">
        <v>5351240</v>
      </c>
      <c r="X17" s="5"/>
      <c r="Y17" s="5">
        <f t="shared" si="0"/>
        <v>257646049</v>
      </c>
      <c r="Z17" s="5"/>
      <c r="AA17" s="5">
        <v>38142591</v>
      </c>
      <c r="AB17" s="5"/>
      <c r="AC17" s="5">
        <v>376048079</v>
      </c>
      <c r="AD17" s="5"/>
      <c r="AE17" s="5">
        <f t="shared" si="1"/>
        <v>414190670</v>
      </c>
      <c r="AF17" s="6">
        <f>+'St of Net Assets - GA'!W17-'St of Activities - GA Exp'!AE17</f>
        <v>0</v>
      </c>
      <c r="AG17" s="11"/>
    </row>
    <row r="18" spans="1:33" ht="12.75">
      <c r="A18" s="4" t="s">
        <v>20</v>
      </c>
      <c r="B18" s="5"/>
      <c r="C18" s="5">
        <v>3030311</v>
      </c>
      <c r="D18" s="5"/>
      <c r="E18" s="5">
        <v>826382</v>
      </c>
      <c r="F18" s="5"/>
      <c r="G18" s="5">
        <v>2245868</v>
      </c>
      <c r="H18" s="5"/>
      <c r="I18" s="5">
        <v>5119807</v>
      </c>
      <c r="J18" s="5"/>
      <c r="K18" s="5">
        <v>3975511</v>
      </c>
      <c r="L18" s="5"/>
      <c r="M18" s="5">
        <v>5849515</v>
      </c>
      <c r="N18" s="5"/>
      <c r="O18" s="5">
        <f>504957+240988</f>
        <v>745945</v>
      </c>
      <c r="P18" s="5"/>
      <c r="Q18" s="5">
        <v>0</v>
      </c>
      <c r="R18" s="5"/>
      <c r="S18" s="5">
        <v>749960</v>
      </c>
      <c r="T18" s="5"/>
      <c r="U18" s="5">
        <v>0</v>
      </c>
      <c r="V18" s="5"/>
      <c r="W18" s="5">
        <v>11927</v>
      </c>
      <c r="X18" s="5"/>
      <c r="Y18" s="5">
        <f t="shared" si="0"/>
        <v>22555226</v>
      </c>
      <c r="Z18" s="5"/>
      <c r="AA18" s="5">
        <v>750101</v>
      </c>
      <c r="AB18" s="5"/>
      <c r="AC18" s="5">
        <v>16943409</v>
      </c>
      <c r="AD18" s="5"/>
      <c r="AE18" s="5">
        <f t="shared" si="1"/>
        <v>17693510</v>
      </c>
      <c r="AF18" s="6">
        <f>+'St of Net Assets - GA'!W18-'St of Activities - GA Exp'!AE18</f>
        <v>0</v>
      </c>
      <c r="AG18" s="12"/>
    </row>
    <row r="19" spans="1:33" ht="12.75" hidden="1">
      <c r="A19" s="4" t="s">
        <v>173</v>
      </c>
      <c r="B19" s="5"/>
      <c r="C19" s="5">
        <v>0</v>
      </c>
      <c r="D19" s="5"/>
      <c r="E19" s="5">
        <v>0</v>
      </c>
      <c r="F19" s="5"/>
      <c r="G19" s="5">
        <v>0</v>
      </c>
      <c r="H19" s="5"/>
      <c r="I19" s="5">
        <v>0</v>
      </c>
      <c r="J19" s="5"/>
      <c r="K19" s="5">
        <v>0</v>
      </c>
      <c r="L19" s="5"/>
      <c r="M19" s="5">
        <v>0</v>
      </c>
      <c r="N19" s="5"/>
      <c r="O19" s="5">
        <v>0</v>
      </c>
      <c r="P19" s="5"/>
      <c r="Q19" s="5">
        <v>0</v>
      </c>
      <c r="R19" s="5"/>
      <c r="S19" s="5">
        <v>0</v>
      </c>
      <c r="T19" s="5"/>
      <c r="U19" s="5">
        <v>0</v>
      </c>
      <c r="V19" s="5"/>
      <c r="W19" s="5">
        <v>0</v>
      </c>
      <c r="X19" s="5"/>
      <c r="Y19" s="5">
        <f t="shared" si="0"/>
        <v>0</v>
      </c>
      <c r="Z19" s="5"/>
      <c r="AA19" s="5">
        <v>0</v>
      </c>
      <c r="AB19" s="5"/>
      <c r="AC19" s="5">
        <v>0</v>
      </c>
      <c r="AD19" s="5"/>
      <c r="AE19" s="5">
        <f t="shared" si="1"/>
        <v>0</v>
      </c>
      <c r="AF19" s="6">
        <f>+'St of Net Assets - GA'!W19-'St of Activities - GA Exp'!AE19</f>
        <v>0</v>
      </c>
      <c r="AG19" s="11"/>
    </row>
    <row r="20" spans="1:33" ht="12.75">
      <c r="A20" s="4" t="s">
        <v>21</v>
      </c>
      <c r="B20" s="5"/>
      <c r="C20" s="5">
        <v>8021787</v>
      </c>
      <c r="D20" s="5"/>
      <c r="E20" s="5">
        <v>9517489</v>
      </c>
      <c r="F20" s="5"/>
      <c r="G20" s="5">
        <v>17442261</v>
      </c>
      <c r="H20" s="5"/>
      <c r="I20" s="5">
        <v>12060786</v>
      </c>
      <c r="J20" s="5"/>
      <c r="K20" s="5">
        <v>22953485</v>
      </c>
      <c r="L20" s="5"/>
      <c r="M20" s="5">
        <v>43825254</v>
      </c>
      <c r="N20" s="5"/>
      <c r="O20" s="5">
        <v>0</v>
      </c>
      <c r="P20" s="5"/>
      <c r="Q20" s="5">
        <v>2043586</v>
      </c>
      <c r="R20" s="5"/>
      <c r="S20" s="5">
        <v>0</v>
      </c>
      <c r="T20" s="5"/>
      <c r="U20" s="5">
        <v>0</v>
      </c>
      <c r="V20" s="5"/>
      <c r="W20" s="5">
        <v>552627</v>
      </c>
      <c r="X20" s="5"/>
      <c r="Y20" s="5">
        <f t="shared" si="0"/>
        <v>116417275</v>
      </c>
      <c r="Z20" s="5"/>
      <c r="AA20" s="5">
        <v>10461803</v>
      </c>
      <c r="AB20" s="5"/>
      <c r="AC20" s="5">
        <v>89526285</v>
      </c>
      <c r="AD20" s="5"/>
      <c r="AE20" s="5">
        <f t="shared" si="1"/>
        <v>99988088</v>
      </c>
      <c r="AF20" s="6">
        <f>+'St of Net Assets - GA'!W20-'St of Activities - GA Exp'!AE20</f>
        <v>0</v>
      </c>
      <c r="AG20" s="11"/>
    </row>
    <row r="21" spans="1:33" ht="12.75">
      <c r="A21" s="4" t="s">
        <v>184</v>
      </c>
      <c r="B21" s="5"/>
      <c r="C21" s="5">
        <v>20523819</v>
      </c>
      <c r="D21" s="5"/>
      <c r="E21" s="5">
        <v>10207694</v>
      </c>
      <c r="F21" s="5"/>
      <c r="G21" s="5">
        <v>26776170</v>
      </c>
      <c r="H21" s="5"/>
      <c r="I21" s="5">
        <v>10029854</v>
      </c>
      <c r="J21" s="5"/>
      <c r="K21" s="5">
        <v>938943</v>
      </c>
      <c r="L21" s="5"/>
      <c r="M21" s="5">
        <v>36166303</v>
      </c>
      <c r="N21" s="5"/>
      <c r="O21" s="5">
        <f>2070800+926510</f>
        <v>2997310</v>
      </c>
      <c r="P21" s="5"/>
      <c r="Q21" s="5">
        <v>0</v>
      </c>
      <c r="R21" s="5"/>
      <c r="S21" s="5">
        <f>2193540</f>
        <v>2193540</v>
      </c>
      <c r="T21" s="5"/>
      <c r="U21" s="5">
        <v>0</v>
      </c>
      <c r="V21" s="5"/>
      <c r="W21" s="5">
        <v>1298080</v>
      </c>
      <c r="X21" s="5"/>
      <c r="Y21" s="5">
        <f t="shared" si="0"/>
        <v>111131713</v>
      </c>
      <c r="Z21" s="5"/>
      <c r="AA21" s="5">
        <v>7230686</v>
      </c>
      <c r="AB21" s="5"/>
      <c r="AC21" s="5">
        <v>197994579</v>
      </c>
      <c r="AD21" s="5"/>
      <c r="AE21" s="5">
        <f t="shared" si="1"/>
        <v>205225265</v>
      </c>
      <c r="AF21" s="6">
        <f>+'St of Net Assets - GA'!W21-'St of Activities - GA Exp'!AE21</f>
        <v>0</v>
      </c>
      <c r="AG21" s="11"/>
    </row>
    <row r="22" spans="1:33" ht="12.75">
      <c r="A22" s="4" t="s">
        <v>22</v>
      </c>
      <c r="B22" s="5"/>
      <c r="C22" s="5">
        <v>5466233</v>
      </c>
      <c r="D22" s="5"/>
      <c r="E22" s="5">
        <v>2659720</v>
      </c>
      <c r="F22" s="5"/>
      <c r="G22" s="5">
        <v>4264051</v>
      </c>
      <c r="H22" s="5"/>
      <c r="I22" s="5">
        <v>5752603</v>
      </c>
      <c r="J22" s="5"/>
      <c r="K22" s="5">
        <v>3760936</v>
      </c>
      <c r="L22" s="5"/>
      <c r="M22" s="5">
        <v>8151335</v>
      </c>
      <c r="N22" s="5"/>
      <c r="O22" s="5">
        <v>500198</v>
      </c>
      <c r="P22" s="5"/>
      <c r="Q22" s="5">
        <v>0</v>
      </c>
      <c r="R22" s="5"/>
      <c r="S22" s="5">
        <v>790228</v>
      </c>
      <c r="T22" s="5"/>
      <c r="U22" s="5">
        <v>0</v>
      </c>
      <c r="V22" s="5"/>
      <c r="W22" s="5">
        <v>547128</v>
      </c>
      <c r="X22" s="5"/>
      <c r="Y22" s="5">
        <f t="shared" si="0"/>
        <v>31892432</v>
      </c>
      <c r="Z22" s="5"/>
      <c r="AA22" s="5">
        <v>6612008</v>
      </c>
      <c r="AB22" s="5"/>
      <c r="AC22" s="5">
        <v>39817589</v>
      </c>
      <c r="AD22" s="5"/>
      <c r="AE22" s="5">
        <f t="shared" si="1"/>
        <v>46429597</v>
      </c>
      <c r="AF22" s="6">
        <f>+'St of Net Assets - GA'!W22-'St of Activities - GA Exp'!AE22</f>
        <v>0</v>
      </c>
      <c r="AG22" s="11"/>
    </row>
    <row r="23" spans="1:33" ht="12.75" customHeight="1" hidden="1">
      <c r="A23" s="4" t="s">
        <v>23</v>
      </c>
      <c r="B23" s="5"/>
      <c r="C23" s="5">
        <v>0</v>
      </c>
      <c r="D23" s="5"/>
      <c r="E23" s="5">
        <v>0</v>
      </c>
      <c r="F23" s="5"/>
      <c r="G23" s="5">
        <v>0</v>
      </c>
      <c r="H23" s="5"/>
      <c r="I23" s="5">
        <v>0</v>
      </c>
      <c r="J23" s="5"/>
      <c r="K23" s="5">
        <v>0</v>
      </c>
      <c r="L23" s="5"/>
      <c r="M23" s="5">
        <v>0</v>
      </c>
      <c r="N23" s="5"/>
      <c r="O23" s="5">
        <v>0</v>
      </c>
      <c r="P23" s="5"/>
      <c r="Q23" s="5">
        <v>0</v>
      </c>
      <c r="R23" s="5"/>
      <c r="S23" s="5">
        <v>0</v>
      </c>
      <c r="T23" s="5"/>
      <c r="U23" s="5">
        <v>0</v>
      </c>
      <c r="V23" s="5"/>
      <c r="W23" s="5">
        <v>0</v>
      </c>
      <c r="X23" s="5"/>
      <c r="Y23" s="5">
        <f t="shared" si="0"/>
        <v>0</v>
      </c>
      <c r="Z23" s="5"/>
      <c r="AA23" s="5"/>
      <c r="AB23" s="5"/>
      <c r="AC23" s="5"/>
      <c r="AD23" s="5"/>
      <c r="AE23" s="5">
        <f t="shared" si="1"/>
        <v>0</v>
      </c>
      <c r="AF23" s="6">
        <f>+'St of Net Assets - GA'!W23-'St of Activities - GA Exp'!AE23</f>
        <v>0</v>
      </c>
      <c r="AG23" s="11"/>
    </row>
    <row r="24" spans="1:33" ht="12.75">
      <c r="A24" s="4" t="s">
        <v>24</v>
      </c>
      <c r="B24" s="5"/>
      <c r="C24" s="5">
        <v>3096559</v>
      </c>
      <c r="D24" s="5"/>
      <c r="E24" s="5">
        <v>1597768</v>
      </c>
      <c r="F24" s="5"/>
      <c r="G24" s="5">
        <v>4702796</v>
      </c>
      <c r="H24" s="5"/>
      <c r="I24" s="5">
        <v>4514228</v>
      </c>
      <c r="J24" s="5"/>
      <c r="K24" s="5">
        <v>6074797</v>
      </c>
      <c r="L24" s="5"/>
      <c r="M24" s="5">
        <v>10393596</v>
      </c>
      <c r="N24" s="5"/>
      <c r="O24" s="5">
        <v>0</v>
      </c>
      <c r="P24" s="5"/>
      <c r="Q24" s="5">
        <v>380697</v>
      </c>
      <c r="R24" s="5"/>
      <c r="S24" s="5">
        <v>274880</v>
      </c>
      <c r="T24" s="5"/>
      <c r="U24" s="5">
        <v>0</v>
      </c>
      <c r="V24" s="5"/>
      <c r="W24" s="5">
        <v>262634</v>
      </c>
      <c r="X24" s="5"/>
      <c r="Y24" s="5">
        <f t="shared" si="0"/>
        <v>31297955</v>
      </c>
      <c r="Z24" s="5"/>
      <c r="AA24" s="5">
        <v>1371330</v>
      </c>
      <c r="AB24" s="5"/>
      <c r="AC24" s="5">
        <v>28354593</v>
      </c>
      <c r="AD24" s="5"/>
      <c r="AE24" s="5">
        <f t="shared" si="1"/>
        <v>29725923</v>
      </c>
      <c r="AF24" s="6">
        <f>+'St of Net Assets - GA'!W24-'St of Activities - GA Exp'!AE24</f>
        <v>0</v>
      </c>
      <c r="AG24" s="11"/>
    </row>
    <row r="25" spans="1:33" ht="12.75">
      <c r="A25" s="4" t="s">
        <v>182</v>
      </c>
      <c r="B25" s="5"/>
      <c r="C25" s="5">
        <v>4257386</v>
      </c>
      <c r="D25" s="5"/>
      <c r="E25" s="5">
        <v>2049387</v>
      </c>
      <c r="F25" s="5"/>
      <c r="G25" s="5">
        <f>2183103+3438817</f>
        <v>5621920</v>
      </c>
      <c r="H25" s="5"/>
      <c r="I25" s="5">
        <v>2525992</v>
      </c>
      <c r="J25" s="5"/>
      <c r="K25" s="5">
        <f>3624677+1084483</f>
        <v>4709160</v>
      </c>
      <c r="L25" s="5"/>
      <c r="M25" s="5">
        <f>1657180+1868174+5662972+1765187</f>
        <v>10953513</v>
      </c>
      <c r="N25" s="5"/>
      <c r="O25" s="5">
        <v>258489</v>
      </c>
      <c r="P25" s="5"/>
      <c r="Q25" s="5">
        <v>0</v>
      </c>
      <c r="R25" s="5"/>
      <c r="S25" s="5">
        <v>0</v>
      </c>
      <c r="T25" s="5"/>
      <c r="U25" s="5">
        <v>480331</v>
      </c>
      <c r="V25" s="5"/>
      <c r="W25" s="5">
        <v>641449</v>
      </c>
      <c r="X25" s="5"/>
      <c r="Y25" s="5">
        <f t="shared" si="0"/>
        <v>31497627</v>
      </c>
      <c r="Z25" s="5"/>
      <c r="AA25" s="5">
        <v>3033300</v>
      </c>
      <c r="AB25" s="5"/>
      <c r="AC25" s="5">
        <v>45071624</v>
      </c>
      <c r="AD25" s="5"/>
      <c r="AE25" s="5">
        <f t="shared" si="1"/>
        <v>48104924</v>
      </c>
      <c r="AF25" s="6">
        <f>+'St of Net Assets - GA'!W25-'St of Activities - GA Exp'!AE25</f>
        <v>0</v>
      </c>
      <c r="AG25" s="11"/>
    </row>
    <row r="26" spans="1:33" ht="12.75">
      <c r="A26" s="4" t="s">
        <v>25</v>
      </c>
      <c r="B26" s="5"/>
      <c r="C26" s="5">
        <v>86604000</v>
      </c>
      <c r="D26" s="5"/>
      <c r="E26" s="5">
        <v>328559000</v>
      </c>
      <c r="F26" s="5"/>
      <c r="G26" s="5">
        <v>0</v>
      </c>
      <c r="H26" s="5"/>
      <c r="I26" s="5">
        <v>60346000</v>
      </c>
      <c r="J26" s="5"/>
      <c r="K26" s="5">
        <v>234383000</v>
      </c>
      <c r="L26" s="5"/>
      <c r="M26" s="5">
        <v>625508000</v>
      </c>
      <c r="N26" s="5"/>
      <c r="O26" s="5">
        <v>31210000</v>
      </c>
      <c r="P26" s="5"/>
      <c r="Q26" s="5">
        <v>0</v>
      </c>
      <c r="R26" s="5"/>
      <c r="S26" s="5">
        <v>0</v>
      </c>
      <c r="T26" s="5"/>
      <c r="U26" s="5">
        <v>0</v>
      </c>
      <c r="V26" s="5"/>
      <c r="W26" s="5">
        <v>16627000</v>
      </c>
      <c r="X26" s="5"/>
      <c r="Y26" s="5">
        <f>SUM(C26:W26)</f>
        <v>1383237000</v>
      </c>
      <c r="Z26" s="5"/>
      <c r="AA26" s="5">
        <v>35786000</v>
      </c>
      <c r="AB26" s="5"/>
      <c r="AC26" s="5">
        <v>690426000</v>
      </c>
      <c r="AD26" s="5"/>
      <c r="AE26" s="5">
        <f t="shared" si="1"/>
        <v>726212000</v>
      </c>
      <c r="AF26" s="6">
        <f>+'St of Net Assets - GA'!W26-'St of Activities - GA Exp'!AE26</f>
        <v>0</v>
      </c>
      <c r="AG26" s="11"/>
    </row>
    <row r="27" spans="1:33" ht="12.75">
      <c r="A27" s="4" t="s">
        <v>26</v>
      </c>
      <c r="B27" s="5"/>
      <c r="C27" s="5">
        <v>7562586</v>
      </c>
      <c r="D27" s="5"/>
      <c r="E27" s="5">
        <v>0</v>
      </c>
      <c r="F27" s="5"/>
      <c r="G27" s="5">
        <v>4491282</v>
      </c>
      <c r="H27" s="5"/>
      <c r="I27" s="5">
        <v>5760844</v>
      </c>
      <c r="J27" s="5"/>
      <c r="K27" s="5">
        <v>346550</v>
      </c>
      <c r="L27" s="5"/>
      <c r="M27" s="5">
        <v>12916355</v>
      </c>
      <c r="N27" s="5"/>
      <c r="O27" s="5">
        <v>1006822</v>
      </c>
      <c r="P27" s="5"/>
      <c r="Q27" s="5">
        <v>0</v>
      </c>
      <c r="R27" s="5"/>
      <c r="S27" s="5">
        <v>0</v>
      </c>
      <c r="T27" s="5"/>
      <c r="U27" s="5">
        <v>0</v>
      </c>
      <c r="V27" s="5"/>
      <c r="W27" s="5">
        <v>324856</v>
      </c>
      <c r="X27" s="5"/>
      <c r="Y27" s="5">
        <f t="shared" si="0"/>
        <v>32409295</v>
      </c>
      <c r="Z27" s="5"/>
      <c r="AA27" s="5">
        <v>1045190</v>
      </c>
      <c r="AB27" s="5"/>
      <c r="AC27" s="5">
        <v>91108317</v>
      </c>
      <c r="AD27" s="5"/>
      <c r="AE27" s="5">
        <f t="shared" si="1"/>
        <v>92153507</v>
      </c>
      <c r="AF27" s="6">
        <f>+'St of Net Assets - GA'!W27-'St of Activities - GA Exp'!AE27</f>
        <v>0</v>
      </c>
      <c r="AG27" s="11"/>
    </row>
    <row r="28" spans="1:33" ht="12.75">
      <c r="A28" s="4" t="s">
        <v>27</v>
      </c>
      <c r="B28" s="5"/>
      <c r="C28" s="5">
        <v>5752789</v>
      </c>
      <c r="D28" s="5"/>
      <c r="E28" s="5">
        <v>1455429</v>
      </c>
      <c r="F28" s="5"/>
      <c r="G28" s="5">
        <v>4402936</v>
      </c>
      <c r="H28" s="5"/>
      <c r="I28" s="5">
        <v>6023868</v>
      </c>
      <c r="J28" s="5"/>
      <c r="K28" s="5">
        <v>4497455</v>
      </c>
      <c r="L28" s="5"/>
      <c r="M28" s="5">
        <v>6784524</v>
      </c>
      <c r="N28" s="5"/>
      <c r="O28" s="5">
        <v>776986</v>
      </c>
      <c r="P28" s="5"/>
      <c r="Q28" s="5">
        <v>4315</v>
      </c>
      <c r="R28" s="5"/>
      <c r="S28" s="5">
        <v>0</v>
      </c>
      <c r="T28" s="5"/>
      <c r="U28" s="5">
        <v>0</v>
      </c>
      <c r="V28" s="5"/>
      <c r="W28" s="5">
        <v>593459</v>
      </c>
      <c r="X28" s="5"/>
      <c r="Y28" s="5">
        <f aca="true" t="shared" si="2" ref="Y28:Y74">SUM(C28:W28)</f>
        <v>30291761</v>
      </c>
      <c r="Z28" s="5"/>
      <c r="AA28" s="5">
        <v>5838728</v>
      </c>
      <c r="AB28" s="5"/>
      <c r="AC28" s="5">
        <v>74097299</v>
      </c>
      <c r="AD28" s="5"/>
      <c r="AE28" s="5">
        <f aca="true" t="shared" si="3" ref="AE28:AE43">+AC28+AA28</f>
        <v>79936027</v>
      </c>
      <c r="AF28" s="6">
        <f>+'St of Net Assets - GA'!W28-'St of Activities - GA Exp'!AE28</f>
        <v>0</v>
      </c>
      <c r="AG28" s="11"/>
    </row>
    <row r="29" spans="1:33" ht="12.75">
      <c r="A29" s="4" t="s">
        <v>28</v>
      </c>
      <c r="B29" s="5"/>
      <c r="C29" s="5">
        <v>16880277</v>
      </c>
      <c r="D29" s="5"/>
      <c r="E29" s="5">
        <v>6748207</v>
      </c>
      <c r="F29" s="5"/>
      <c r="G29" s="5">
        <f>2867626+7510187+13654424+3995524</f>
        <v>28027761</v>
      </c>
      <c r="H29" s="5"/>
      <c r="I29" s="5">
        <v>20674441</v>
      </c>
      <c r="J29" s="5"/>
      <c r="K29" s="5">
        <v>10385226</v>
      </c>
      <c r="L29" s="5"/>
      <c r="M29" s="5">
        <f>6859993+1406167+1971588+340080</f>
        <v>10577828</v>
      </c>
      <c r="N29" s="5"/>
      <c r="O29" s="5">
        <v>0</v>
      </c>
      <c r="P29" s="5"/>
      <c r="Q29" s="5">
        <v>0</v>
      </c>
      <c r="R29" s="5"/>
      <c r="S29" s="5">
        <v>0</v>
      </c>
      <c r="T29" s="5"/>
      <c r="U29" s="5">
        <v>697645</v>
      </c>
      <c r="V29" s="5"/>
      <c r="W29" s="5">
        <v>2326983</v>
      </c>
      <c r="X29" s="5"/>
      <c r="Y29" s="5">
        <f t="shared" si="2"/>
        <v>96318368</v>
      </c>
      <c r="Z29" s="5"/>
      <c r="AA29" s="5">
        <v>13410701</v>
      </c>
      <c r="AB29" s="5"/>
      <c r="AC29" s="5">
        <v>168511839</v>
      </c>
      <c r="AD29" s="5"/>
      <c r="AE29" s="5">
        <f t="shared" si="3"/>
        <v>181922540</v>
      </c>
      <c r="AF29" s="6">
        <f>+'St of Net Assets - GA'!W29-'St of Activities - GA Exp'!AE29</f>
        <v>0</v>
      </c>
      <c r="AG29" s="11"/>
    </row>
    <row r="30" spans="1:33" ht="12.75">
      <c r="A30" s="4" t="s">
        <v>29</v>
      </c>
      <c r="B30" s="5"/>
      <c r="C30" s="5">
        <v>12405267</v>
      </c>
      <c r="D30" s="5"/>
      <c r="E30" s="5">
        <v>6879431</v>
      </c>
      <c r="F30" s="5"/>
      <c r="G30" s="5">
        <v>10177442</v>
      </c>
      <c r="H30" s="5"/>
      <c r="I30" s="5">
        <v>4008180</v>
      </c>
      <c r="J30" s="5"/>
      <c r="K30" s="5">
        <v>8332023</v>
      </c>
      <c r="L30" s="5"/>
      <c r="M30" s="5">
        <v>14465802</v>
      </c>
      <c r="N30" s="5"/>
      <c r="O30" s="5">
        <v>1146781</v>
      </c>
      <c r="P30" s="5"/>
      <c r="Q30" s="5">
        <v>0</v>
      </c>
      <c r="R30" s="5"/>
      <c r="S30" s="5">
        <v>301971</v>
      </c>
      <c r="T30" s="5"/>
      <c r="U30" s="5">
        <v>0</v>
      </c>
      <c r="V30" s="5"/>
      <c r="W30" s="5">
        <v>904320</v>
      </c>
      <c r="X30" s="5"/>
      <c r="Y30" s="5">
        <f t="shared" si="2"/>
        <v>58621217</v>
      </c>
      <c r="Z30" s="5"/>
      <c r="AA30" s="5">
        <v>6997325</v>
      </c>
      <c r="AB30" s="5"/>
      <c r="AC30" s="5">
        <v>65397335</v>
      </c>
      <c r="AD30" s="5"/>
      <c r="AE30" s="5">
        <f t="shared" si="3"/>
        <v>72394660</v>
      </c>
      <c r="AF30" s="6">
        <f>+'St of Net Assets - GA'!W30-'St of Activities - GA Exp'!AE30</f>
        <v>0</v>
      </c>
      <c r="AG30" s="11"/>
    </row>
    <row r="31" spans="1:33" ht="12.75">
      <c r="A31" s="4" t="s">
        <v>30</v>
      </c>
      <c r="B31" s="5"/>
      <c r="C31" s="5">
        <v>10028288</v>
      </c>
      <c r="D31" s="5"/>
      <c r="E31" s="5">
        <v>4871510</v>
      </c>
      <c r="F31" s="5"/>
      <c r="G31" s="5">
        <v>13073012</v>
      </c>
      <c r="H31" s="5"/>
      <c r="I31" s="5">
        <v>10266746</v>
      </c>
      <c r="J31" s="5"/>
      <c r="K31" s="5">
        <v>21380824</v>
      </c>
      <c r="L31" s="5"/>
      <c r="M31" s="5">
        <v>22717970</v>
      </c>
      <c r="N31" s="5"/>
      <c r="O31" s="5">
        <v>153037</v>
      </c>
      <c r="P31" s="5"/>
      <c r="Q31" s="5">
        <v>0</v>
      </c>
      <c r="R31" s="5"/>
      <c r="S31" s="5">
        <f>231077</f>
        <v>231077</v>
      </c>
      <c r="T31" s="5"/>
      <c r="U31" s="5">
        <v>2121935</v>
      </c>
      <c r="V31" s="5"/>
      <c r="W31" s="5">
        <v>1157748</v>
      </c>
      <c r="X31" s="5"/>
      <c r="Y31" s="5">
        <f t="shared" si="2"/>
        <v>86002147</v>
      </c>
      <c r="Z31" s="5"/>
      <c r="AA31" s="5">
        <v>30821045</v>
      </c>
      <c r="AB31" s="5"/>
      <c r="AC31" s="5">
        <v>186723244</v>
      </c>
      <c r="AD31" s="5"/>
      <c r="AE31" s="5">
        <f t="shared" si="3"/>
        <v>217544289</v>
      </c>
      <c r="AF31" s="6">
        <f>+'St of Net Assets - GA'!W31-'St of Activities - GA Exp'!AE31</f>
        <v>0</v>
      </c>
      <c r="AG31" s="11"/>
    </row>
    <row r="32" spans="1:33" ht="12.75" hidden="1">
      <c r="A32" s="4" t="s">
        <v>253</v>
      </c>
      <c r="B32" s="5"/>
      <c r="C32" s="5">
        <v>0</v>
      </c>
      <c r="D32" s="5"/>
      <c r="E32" s="5">
        <v>0</v>
      </c>
      <c r="F32" s="5"/>
      <c r="G32" s="5">
        <v>0</v>
      </c>
      <c r="H32" s="5"/>
      <c r="I32" s="5">
        <v>0</v>
      </c>
      <c r="J32" s="5"/>
      <c r="K32" s="5">
        <v>0</v>
      </c>
      <c r="L32" s="5"/>
      <c r="M32" s="5">
        <v>0</v>
      </c>
      <c r="N32" s="5"/>
      <c r="O32" s="5">
        <v>0</v>
      </c>
      <c r="P32" s="5"/>
      <c r="Q32" s="5">
        <v>0</v>
      </c>
      <c r="R32" s="5"/>
      <c r="S32" s="5">
        <v>0</v>
      </c>
      <c r="T32" s="5"/>
      <c r="U32" s="5">
        <v>0</v>
      </c>
      <c r="V32" s="5"/>
      <c r="W32" s="5">
        <v>0</v>
      </c>
      <c r="X32" s="5"/>
      <c r="Y32" s="5">
        <f t="shared" si="2"/>
        <v>0</v>
      </c>
      <c r="Z32" s="5"/>
      <c r="AA32" s="5">
        <v>0</v>
      </c>
      <c r="AB32" s="5"/>
      <c r="AC32" s="5">
        <v>0</v>
      </c>
      <c r="AD32" s="5"/>
      <c r="AE32" s="5">
        <f t="shared" si="3"/>
        <v>0</v>
      </c>
      <c r="AF32" s="6">
        <f>+'St of Net Assets - GA'!W32-'St of Activities - GA Exp'!AE32</f>
        <v>0</v>
      </c>
      <c r="AG32" s="11"/>
    </row>
    <row r="33" spans="1:33" ht="12.75">
      <c r="A33" s="4" t="s">
        <v>32</v>
      </c>
      <c r="B33" s="5"/>
      <c r="C33" s="5">
        <v>99566000</v>
      </c>
      <c r="D33" s="5"/>
      <c r="E33" s="5">
        <v>65470000</v>
      </c>
      <c r="F33" s="5"/>
      <c r="G33" s="5">
        <v>119756000</v>
      </c>
      <c r="H33" s="5"/>
      <c r="I33" s="5">
        <v>33679000</v>
      </c>
      <c r="J33" s="5"/>
      <c r="K33" s="5">
        <v>304339000</v>
      </c>
      <c r="L33" s="5"/>
      <c r="M33" s="5">
        <v>344807000</v>
      </c>
      <c r="N33" s="5"/>
      <c r="O33" s="5">
        <v>3694000</v>
      </c>
      <c r="P33" s="5"/>
      <c r="Q33" s="5">
        <v>20757000</v>
      </c>
      <c r="R33" s="5"/>
      <c r="S33" s="5">
        <v>0</v>
      </c>
      <c r="T33" s="5"/>
      <c r="U33" s="5">
        <v>0</v>
      </c>
      <c r="V33" s="5"/>
      <c r="W33" s="5">
        <v>6845000</v>
      </c>
      <c r="X33" s="5"/>
      <c r="Y33" s="5">
        <f t="shared" si="2"/>
        <v>998913000</v>
      </c>
      <c r="Z33" s="5"/>
      <c r="AA33" s="5">
        <v>140564000</v>
      </c>
      <c r="AB33" s="5"/>
      <c r="AC33" s="5">
        <v>772275000</v>
      </c>
      <c r="AD33" s="5"/>
      <c r="AE33" s="5">
        <f t="shared" si="3"/>
        <v>912839000</v>
      </c>
      <c r="AF33" s="6">
        <f>+'St of Net Assets - GA'!W33-'St of Activities - GA Exp'!AE33</f>
        <v>0</v>
      </c>
      <c r="AG33" s="11"/>
    </row>
    <row r="34" spans="1:33" ht="12.75">
      <c r="A34" s="4" t="s">
        <v>33</v>
      </c>
      <c r="B34" s="5"/>
      <c r="C34" s="5">
        <v>5664116</v>
      </c>
      <c r="D34" s="5"/>
      <c r="E34" s="5">
        <v>1899341</v>
      </c>
      <c r="F34" s="5"/>
      <c r="G34" s="5">
        <v>6271366</v>
      </c>
      <c r="H34" s="5"/>
      <c r="I34" s="5">
        <v>3114395</v>
      </c>
      <c r="J34" s="5"/>
      <c r="K34" s="5">
        <v>1356780</v>
      </c>
      <c r="L34" s="5"/>
      <c r="M34" s="5">
        <v>10038086</v>
      </c>
      <c r="N34" s="5"/>
      <c r="O34" s="5">
        <v>1380253</v>
      </c>
      <c r="P34" s="5"/>
      <c r="Q34" s="5">
        <v>0</v>
      </c>
      <c r="R34" s="5"/>
      <c r="S34" s="5">
        <v>114996</v>
      </c>
      <c r="T34" s="5"/>
      <c r="U34" s="5">
        <v>924530</v>
      </c>
      <c r="V34" s="5"/>
      <c r="W34" s="5">
        <v>74964</v>
      </c>
      <c r="X34" s="5"/>
      <c r="Y34" s="5">
        <f t="shared" si="2"/>
        <v>30838827</v>
      </c>
      <c r="Z34" s="5"/>
      <c r="AA34" s="5">
        <v>2302840</v>
      </c>
      <c r="AB34" s="5"/>
      <c r="AC34" s="5">
        <v>57738678</v>
      </c>
      <c r="AD34" s="5"/>
      <c r="AE34" s="5">
        <f t="shared" si="3"/>
        <v>60041518</v>
      </c>
      <c r="AF34" s="6">
        <f>+'St of Net Assets - GA'!W34-'St of Activities - GA Exp'!AE34</f>
        <v>0</v>
      </c>
      <c r="AG34" s="11"/>
    </row>
    <row r="35" spans="1:33" ht="12.75">
      <c r="A35" s="4" t="s">
        <v>34</v>
      </c>
      <c r="B35" s="5"/>
      <c r="C35" s="5">
        <v>3124822</v>
      </c>
      <c r="D35" s="5"/>
      <c r="E35" s="5">
        <v>1079733</v>
      </c>
      <c r="F35" s="5"/>
      <c r="G35" s="5">
        <v>4538885</v>
      </c>
      <c r="H35" s="5"/>
      <c r="I35" s="5">
        <v>4477769</v>
      </c>
      <c r="J35" s="5"/>
      <c r="K35" s="5">
        <v>2628058</v>
      </c>
      <c r="L35" s="5"/>
      <c r="M35" s="5">
        <v>9910966</v>
      </c>
      <c r="N35" s="5"/>
      <c r="O35" s="5">
        <v>754164</v>
      </c>
      <c r="P35" s="5"/>
      <c r="Q35" s="5">
        <v>386780</v>
      </c>
      <c r="R35" s="5"/>
      <c r="S35" s="5">
        <v>674691</v>
      </c>
      <c r="T35" s="5"/>
      <c r="U35" s="5">
        <v>0</v>
      </c>
      <c r="V35" s="5"/>
      <c r="W35" s="5">
        <v>31326</v>
      </c>
      <c r="X35" s="5"/>
      <c r="Y35" s="5">
        <f t="shared" si="2"/>
        <v>27607194</v>
      </c>
      <c r="Z35" s="5"/>
      <c r="AA35" s="5">
        <v>1553050</v>
      </c>
      <c r="AB35" s="5"/>
      <c r="AC35" s="5">
        <v>17966950</v>
      </c>
      <c r="AD35" s="5"/>
      <c r="AE35" s="5">
        <f t="shared" si="3"/>
        <v>19520000</v>
      </c>
      <c r="AF35" s="6">
        <f>+'St of Net Assets - GA'!W35-'St of Activities - GA Exp'!AE35</f>
        <v>0</v>
      </c>
      <c r="AG35" s="11"/>
    </row>
    <row r="36" spans="1:33" ht="12.75">
      <c r="A36" s="4" t="s">
        <v>35</v>
      </c>
      <c r="B36" s="5"/>
      <c r="C36" s="5">
        <v>11055726</v>
      </c>
      <c r="D36" s="5"/>
      <c r="E36" s="5">
        <v>3544193</v>
      </c>
      <c r="F36" s="5"/>
      <c r="G36" s="5">
        <v>12800386</v>
      </c>
      <c r="H36" s="5"/>
      <c r="I36" s="5">
        <v>7643031</v>
      </c>
      <c r="J36" s="5"/>
      <c r="K36" s="5">
        <v>7236509</v>
      </c>
      <c r="L36" s="5"/>
      <c r="M36" s="5">
        <v>29679317</v>
      </c>
      <c r="N36" s="5"/>
      <c r="O36" s="5">
        <v>299248</v>
      </c>
      <c r="P36" s="5"/>
      <c r="Q36" s="5">
        <v>0</v>
      </c>
      <c r="R36" s="5"/>
      <c r="S36" s="5">
        <v>0</v>
      </c>
      <c r="T36" s="5"/>
      <c r="U36" s="5">
        <v>0</v>
      </c>
      <c r="V36" s="5"/>
      <c r="W36" s="5">
        <v>772980</v>
      </c>
      <c r="X36" s="5"/>
      <c r="Y36" s="5">
        <f t="shared" si="2"/>
        <v>73031390</v>
      </c>
      <c r="Z36" s="5"/>
      <c r="AA36" s="5">
        <v>10853495</v>
      </c>
      <c r="AB36" s="5"/>
      <c r="AC36" s="5">
        <v>178383567</v>
      </c>
      <c r="AD36" s="5"/>
      <c r="AE36" s="5">
        <f t="shared" si="3"/>
        <v>189237062</v>
      </c>
      <c r="AF36" s="6">
        <f>+'St of Net Assets - GA'!W36-'St of Activities - GA Exp'!AE36</f>
        <v>0</v>
      </c>
      <c r="AG36" s="11"/>
    </row>
    <row r="37" spans="1:33" ht="12.75">
      <c r="A37" s="4" t="s">
        <v>185</v>
      </c>
      <c r="B37" s="5"/>
      <c r="C37" s="5">
        <v>17510061</v>
      </c>
      <c r="D37" s="5"/>
      <c r="E37" s="5">
        <v>7330377</v>
      </c>
      <c r="F37" s="5"/>
      <c r="G37" s="5">
        <v>20837574</v>
      </c>
      <c r="H37" s="5"/>
      <c r="I37" s="5">
        <v>11776246</v>
      </c>
      <c r="J37" s="5"/>
      <c r="K37" s="5">
        <v>17821835</v>
      </c>
      <c r="L37" s="5"/>
      <c r="M37" s="5">
        <v>30887776</v>
      </c>
      <c r="N37" s="5"/>
      <c r="O37" s="5">
        <v>11901352</v>
      </c>
      <c r="P37" s="5"/>
      <c r="Q37" s="5">
        <v>2895514</v>
      </c>
      <c r="R37" s="5"/>
      <c r="S37" s="5">
        <v>0</v>
      </c>
      <c r="T37" s="5"/>
      <c r="U37" s="5">
        <v>0</v>
      </c>
      <c r="V37" s="5"/>
      <c r="W37" s="5">
        <v>1640815</v>
      </c>
      <c r="X37" s="5"/>
      <c r="Y37" s="5">
        <f t="shared" si="2"/>
        <v>122601550</v>
      </c>
      <c r="Z37" s="5"/>
      <c r="AA37" s="5">
        <v>-7693991</v>
      </c>
      <c r="AB37" s="5"/>
      <c r="AC37" s="5">
        <v>186360164</v>
      </c>
      <c r="AD37" s="5"/>
      <c r="AE37" s="5">
        <f t="shared" si="3"/>
        <v>178666173</v>
      </c>
      <c r="AF37" s="6">
        <f>+'St of Net Assets - GA'!W37-'St of Activities - GA Exp'!AE37</f>
        <v>0</v>
      </c>
      <c r="AG37" s="11"/>
    </row>
    <row r="38" spans="1:33" ht="12.75" hidden="1">
      <c r="A38" s="4" t="s">
        <v>258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2"/>
        <v>0</v>
      </c>
      <c r="Z38" s="5"/>
      <c r="AA38" s="5"/>
      <c r="AB38" s="5"/>
      <c r="AC38" s="5"/>
      <c r="AD38" s="5"/>
      <c r="AE38" s="5">
        <f t="shared" si="3"/>
        <v>0</v>
      </c>
      <c r="AF38" s="6">
        <f>+'St of Net Assets - GA'!W38-'St of Activities - GA Exp'!AE38</f>
        <v>0</v>
      </c>
      <c r="AG38" s="11"/>
    </row>
    <row r="39" spans="1:33" ht="12.75" hidden="1">
      <c r="A39" s="4" t="s">
        <v>259</v>
      </c>
      <c r="B39" s="5"/>
      <c r="C39" s="5">
        <v>0</v>
      </c>
      <c r="D39" s="5"/>
      <c r="E39" s="5">
        <v>0</v>
      </c>
      <c r="F39" s="5"/>
      <c r="G39" s="5">
        <v>0</v>
      </c>
      <c r="H39" s="5"/>
      <c r="I39" s="5">
        <v>0</v>
      </c>
      <c r="J39" s="5"/>
      <c r="K39" s="5">
        <v>0</v>
      </c>
      <c r="L39" s="5"/>
      <c r="M39" s="5">
        <v>0</v>
      </c>
      <c r="N39" s="5"/>
      <c r="O39" s="5">
        <v>0</v>
      </c>
      <c r="P39" s="5"/>
      <c r="Q39" s="5">
        <v>0</v>
      </c>
      <c r="R39" s="5"/>
      <c r="S39" s="5">
        <v>0</v>
      </c>
      <c r="T39" s="5"/>
      <c r="U39" s="5">
        <v>0</v>
      </c>
      <c r="V39" s="5"/>
      <c r="W39" s="5">
        <v>0</v>
      </c>
      <c r="X39" s="5"/>
      <c r="Y39" s="5">
        <f t="shared" si="2"/>
        <v>0</v>
      </c>
      <c r="Z39" s="5"/>
      <c r="AA39" s="5">
        <v>0</v>
      </c>
      <c r="AB39" s="5"/>
      <c r="AC39" s="5">
        <v>0</v>
      </c>
      <c r="AD39" s="5"/>
      <c r="AE39" s="5">
        <f t="shared" si="3"/>
        <v>0</v>
      </c>
      <c r="AF39" s="6">
        <f>+'St of Net Assets - GA'!W39-'St of Activities - GA Exp'!AE39</f>
        <v>0</v>
      </c>
      <c r="AG39" s="11"/>
    </row>
    <row r="40" spans="1:33" ht="12.75">
      <c r="A40" s="4" t="s">
        <v>38</v>
      </c>
      <c r="B40" s="5"/>
      <c r="C40" s="5">
        <v>5869524</v>
      </c>
      <c r="D40" s="5"/>
      <c r="E40" s="5">
        <v>3418856</v>
      </c>
      <c r="F40" s="5"/>
      <c r="G40" s="5">
        <v>6969609</v>
      </c>
      <c r="H40" s="5"/>
      <c r="I40" s="5">
        <v>7258113</v>
      </c>
      <c r="J40" s="5"/>
      <c r="K40" s="5">
        <f>5365214+9487568+1132757</f>
        <v>15985539</v>
      </c>
      <c r="L40" s="5"/>
      <c r="M40" s="5">
        <f>6034173+3784957</f>
        <v>9819130</v>
      </c>
      <c r="N40" s="5"/>
      <c r="O40" s="5">
        <v>737677</v>
      </c>
      <c r="P40" s="5"/>
      <c r="Q40" s="5">
        <v>0</v>
      </c>
      <c r="R40" s="5"/>
      <c r="S40" s="5">
        <v>0</v>
      </c>
      <c r="T40" s="5"/>
      <c r="U40" s="5">
        <v>5448059</v>
      </c>
      <c r="V40" s="5"/>
      <c r="W40" s="5">
        <v>795870</v>
      </c>
      <c r="X40" s="5"/>
      <c r="Y40" s="5">
        <f>SUM(C40:W40)</f>
        <v>56302377</v>
      </c>
      <c r="Z40" s="5"/>
      <c r="AA40" s="5">
        <v>2568853</v>
      </c>
      <c r="AB40" s="5"/>
      <c r="AC40" s="5">
        <v>92576028</v>
      </c>
      <c r="AD40" s="5"/>
      <c r="AE40" s="5">
        <f t="shared" si="3"/>
        <v>95144881</v>
      </c>
      <c r="AF40" s="6">
        <f>+'St of Net Assets - GA'!W40-'St of Activities - GA Exp'!AE40</f>
        <v>0</v>
      </c>
      <c r="AG40" s="11"/>
    </row>
    <row r="41" spans="1:33" ht="12.75" hidden="1">
      <c r="A41" s="4" t="s">
        <v>168</v>
      </c>
      <c r="B41" s="5"/>
      <c r="C41" s="5">
        <v>0</v>
      </c>
      <c r="D41" s="5"/>
      <c r="E41" s="5">
        <v>0</v>
      </c>
      <c r="F41" s="5"/>
      <c r="G41" s="5">
        <v>0</v>
      </c>
      <c r="H41" s="5"/>
      <c r="I41" s="5">
        <v>0</v>
      </c>
      <c r="J41" s="5"/>
      <c r="K41" s="5">
        <v>0</v>
      </c>
      <c r="L41" s="5"/>
      <c r="M41" s="5">
        <v>0</v>
      </c>
      <c r="N41" s="5"/>
      <c r="O41" s="5">
        <v>0</v>
      </c>
      <c r="P41" s="5"/>
      <c r="Q41" s="5">
        <v>0</v>
      </c>
      <c r="R41" s="5"/>
      <c r="S41" s="5">
        <v>0</v>
      </c>
      <c r="T41" s="5"/>
      <c r="U41" s="5">
        <v>0</v>
      </c>
      <c r="V41" s="5"/>
      <c r="W41" s="5">
        <v>0</v>
      </c>
      <c r="X41" s="5"/>
      <c r="Y41" s="5">
        <f t="shared" si="2"/>
        <v>0</v>
      </c>
      <c r="Z41" s="5"/>
      <c r="AA41" s="5">
        <v>0</v>
      </c>
      <c r="AB41" s="5"/>
      <c r="AC41" s="5">
        <v>0</v>
      </c>
      <c r="AD41" s="5"/>
      <c r="AE41" s="5">
        <f t="shared" si="3"/>
        <v>0</v>
      </c>
      <c r="AF41" s="6">
        <f>+'St of Net Assets - GA'!W41-'St of Activities - GA Exp'!AE41</f>
        <v>0</v>
      </c>
      <c r="AG41" s="11"/>
    </row>
    <row r="42" spans="1:33" ht="12.75" hidden="1">
      <c r="A42" s="4" t="s">
        <v>39</v>
      </c>
      <c r="B42" s="5"/>
      <c r="C42" s="5">
        <v>0</v>
      </c>
      <c r="D42" s="5"/>
      <c r="E42" s="5">
        <v>0</v>
      </c>
      <c r="F42" s="5"/>
      <c r="G42" s="5">
        <v>0</v>
      </c>
      <c r="H42" s="5"/>
      <c r="I42" s="5">
        <v>0</v>
      </c>
      <c r="J42" s="5"/>
      <c r="K42" s="5">
        <v>0</v>
      </c>
      <c r="L42" s="5"/>
      <c r="M42" s="5">
        <v>0</v>
      </c>
      <c r="N42" s="5"/>
      <c r="O42" s="5">
        <v>0</v>
      </c>
      <c r="P42" s="5"/>
      <c r="Q42" s="5">
        <v>0</v>
      </c>
      <c r="R42" s="5"/>
      <c r="S42" s="5">
        <v>0</v>
      </c>
      <c r="T42" s="5"/>
      <c r="U42" s="5">
        <v>0</v>
      </c>
      <c r="V42" s="5"/>
      <c r="W42" s="5">
        <v>0</v>
      </c>
      <c r="X42" s="5"/>
      <c r="Y42" s="5">
        <f t="shared" si="2"/>
        <v>0</v>
      </c>
      <c r="Z42" s="5"/>
      <c r="AA42" s="5">
        <v>0</v>
      </c>
      <c r="AB42" s="5"/>
      <c r="AC42" s="5">
        <v>0</v>
      </c>
      <c r="AD42" s="5"/>
      <c r="AE42" s="5">
        <f t="shared" si="3"/>
        <v>0</v>
      </c>
      <c r="AF42" s="6">
        <f>+'St of Net Assets - GA'!W42-'St of Activities - GA Exp'!AE42</f>
        <v>0</v>
      </c>
      <c r="AG42" s="11"/>
    </row>
    <row r="43" spans="1:33" ht="12.75">
      <c r="A43" s="4" t="s">
        <v>40</v>
      </c>
      <c r="B43" s="5"/>
      <c r="C43" s="5">
        <v>3048607</v>
      </c>
      <c r="D43" s="5"/>
      <c r="E43" s="5">
        <v>1095747</v>
      </c>
      <c r="F43" s="5"/>
      <c r="G43" s="5">
        <v>2390295</v>
      </c>
      <c r="H43" s="5"/>
      <c r="I43" s="5">
        <v>4623851</v>
      </c>
      <c r="J43" s="5"/>
      <c r="K43" s="5">
        <v>1702137</v>
      </c>
      <c r="L43" s="5"/>
      <c r="M43" s="5">
        <v>11090500</v>
      </c>
      <c r="N43" s="5"/>
      <c r="O43" s="5">
        <v>543114</v>
      </c>
      <c r="P43" s="5"/>
      <c r="Q43" s="5">
        <v>0</v>
      </c>
      <c r="R43" s="5"/>
      <c r="S43" s="5">
        <f>409224+361159</f>
        <v>770383</v>
      </c>
      <c r="T43" s="5"/>
      <c r="U43" s="5">
        <v>0</v>
      </c>
      <c r="V43" s="5"/>
      <c r="W43" s="5">
        <v>240596</v>
      </c>
      <c r="X43" s="5"/>
      <c r="Y43" s="5">
        <f t="shared" si="2"/>
        <v>25505230</v>
      </c>
      <c r="Z43" s="5"/>
      <c r="AA43" s="5">
        <v>2203822</v>
      </c>
      <c r="AB43" s="5"/>
      <c r="AC43" s="5">
        <v>46871588</v>
      </c>
      <c r="AD43" s="5"/>
      <c r="AE43" s="5">
        <f t="shared" si="3"/>
        <v>49075410</v>
      </c>
      <c r="AF43" s="6">
        <f>+'St of Net Assets - GA'!W43-'St of Activities - GA Exp'!AE43</f>
        <v>0</v>
      </c>
      <c r="AG43" s="11"/>
    </row>
    <row r="44" spans="1:33" ht="12.75" hidden="1">
      <c r="A44" s="4" t="s">
        <v>41</v>
      </c>
      <c r="B44" s="5"/>
      <c r="C44" s="5">
        <v>0</v>
      </c>
      <c r="D44" s="5"/>
      <c r="E44" s="5">
        <v>0</v>
      </c>
      <c r="F44" s="5"/>
      <c r="G44" s="5">
        <v>0</v>
      </c>
      <c r="H44" s="5"/>
      <c r="I44" s="5">
        <v>0</v>
      </c>
      <c r="J44" s="5"/>
      <c r="K44" s="5">
        <v>0</v>
      </c>
      <c r="L44" s="5"/>
      <c r="M44" s="5">
        <v>0</v>
      </c>
      <c r="N44" s="5"/>
      <c r="O44" s="5">
        <v>0</v>
      </c>
      <c r="P44" s="5"/>
      <c r="Q44" s="5">
        <v>0</v>
      </c>
      <c r="R44" s="5"/>
      <c r="S44" s="5">
        <v>0</v>
      </c>
      <c r="T44" s="5"/>
      <c r="U44" s="5">
        <v>0</v>
      </c>
      <c r="V44" s="5"/>
      <c r="W44" s="5">
        <v>0</v>
      </c>
      <c r="X44" s="5"/>
      <c r="Y44" s="5">
        <f t="shared" si="2"/>
        <v>0</v>
      </c>
      <c r="Z44" s="5"/>
      <c r="AA44" s="5">
        <v>0</v>
      </c>
      <c r="AB44" s="5"/>
      <c r="AC44" s="5">
        <v>0</v>
      </c>
      <c r="AD44" s="5"/>
      <c r="AE44" s="5">
        <f aca="true" t="shared" si="4" ref="AE44:AE68">+AC44+AA44</f>
        <v>0</v>
      </c>
      <c r="AF44" s="6">
        <f>+'St of Net Assets - GA'!W44-'St of Activities - GA Exp'!AE44</f>
        <v>0</v>
      </c>
      <c r="AG44" s="11"/>
    </row>
    <row r="45" spans="1:33" ht="12.75">
      <c r="A45" s="4" t="s">
        <v>42</v>
      </c>
      <c r="B45" s="5"/>
      <c r="C45" s="5">
        <v>2870582</v>
      </c>
      <c r="D45" s="5"/>
      <c r="E45" s="5">
        <v>1514757</v>
      </c>
      <c r="F45" s="5"/>
      <c r="G45" s="5">
        <v>2888989</v>
      </c>
      <c r="H45" s="5"/>
      <c r="I45" s="5">
        <v>3418203</v>
      </c>
      <c r="J45" s="5"/>
      <c r="K45" s="5">
        <v>3322045</v>
      </c>
      <c r="L45" s="5"/>
      <c r="M45" s="5">
        <v>8236366</v>
      </c>
      <c r="N45" s="5"/>
      <c r="O45" s="5">
        <v>565840</v>
      </c>
      <c r="P45" s="5"/>
      <c r="Q45" s="5">
        <v>227527</v>
      </c>
      <c r="R45" s="5"/>
      <c r="S45" s="5">
        <v>68673</v>
      </c>
      <c r="T45" s="5"/>
      <c r="U45" s="5">
        <v>12064</v>
      </c>
      <c r="V45" s="5"/>
      <c r="W45" s="5">
        <v>63596</v>
      </c>
      <c r="X45" s="5"/>
      <c r="Y45" s="5">
        <f t="shared" si="2"/>
        <v>23188642</v>
      </c>
      <c r="Z45" s="5"/>
      <c r="AA45" s="5">
        <v>1446054</v>
      </c>
      <c r="AB45" s="5"/>
      <c r="AC45" s="5">
        <v>19881982</v>
      </c>
      <c r="AD45" s="5"/>
      <c r="AE45" s="5">
        <f t="shared" si="4"/>
        <v>21328036</v>
      </c>
      <c r="AF45" s="6">
        <f>+'St of Net Assets - GA'!W45-'St of Activities - GA Exp'!AE45</f>
        <v>0</v>
      </c>
      <c r="AG45" s="11"/>
    </row>
    <row r="46" spans="1:33" ht="12.75">
      <c r="A46" s="4" t="s">
        <v>43</v>
      </c>
      <c r="B46" s="5"/>
      <c r="C46" s="5">
        <v>4860586</v>
      </c>
      <c r="D46" s="5"/>
      <c r="E46" s="5">
        <v>1634998</v>
      </c>
      <c r="F46" s="5"/>
      <c r="G46" s="5">
        <v>4140861</v>
      </c>
      <c r="H46" s="5"/>
      <c r="I46" s="5">
        <v>6343452</v>
      </c>
      <c r="J46" s="5"/>
      <c r="K46" s="5">
        <v>185419</v>
      </c>
      <c r="L46" s="5"/>
      <c r="M46" s="5">
        <v>12522864</v>
      </c>
      <c r="N46" s="5"/>
      <c r="O46" s="5">
        <v>0</v>
      </c>
      <c r="P46" s="5"/>
      <c r="Q46" s="5">
        <v>320920</v>
      </c>
      <c r="R46" s="5"/>
      <c r="S46" s="5">
        <v>0</v>
      </c>
      <c r="T46" s="5"/>
      <c r="U46" s="5">
        <v>227200</v>
      </c>
      <c r="V46" s="5"/>
      <c r="W46" s="5">
        <v>245809</v>
      </c>
      <c r="X46" s="5"/>
      <c r="Y46" s="5">
        <f t="shared" si="2"/>
        <v>30482109</v>
      </c>
      <c r="Z46" s="5"/>
      <c r="AA46" s="5">
        <v>-3220614</v>
      </c>
      <c r="AB46" s="5"/>
      <c r="AC46" s="5">
        <v>34589475</v>
      </c>
      <c r="AD46" s="5"/>
      <c r="AE46" s="5">
        <f t="shared" si="4"/>
        <v>31368861</v>
      </c>
      <c r="AF46" s="6">
        <f>+'St of Net Assets - GA'!W46-'St of Activities - GA Exp'!AE46</f>
        <v>0</v>
      </c>
      <c r="AG46" s="11"/>
    </row>
    <row r="47" spans="1:33" ht="12.75">
      <c r="A47" s="4" t="s">
        <v>44</v>
      </c>
      <c r="B47" s="5"/>
      <c r="C47" s="5">
        <v>6701029</v>
      </c>
      <c r="D47" s="5"/>
      <c r="E47" s="5">
        <v>2376585</v>
      </c>
      <c r="F47" s="5"/>
      <c r="G47" s="5">
        <v>5566187</v>
      </c>
      <c r="H47" s="5"/>
      <c r="I47" s="5">
        <v>4865832</v>
      </c>
      <c r="J47" s="5"/>
      <c r="K47" s="5">
        <v>7913082</v>
      </c>
      <c r="L47" s="5"/>
      <c r="M47" s="5">
        <v>13386709</v>
      </c>
      <c r="N47" s="5"/>
      <c r="O47" s="5">
        <v>0</v>
      </c>
      <c r="P47" s="5"/>
      <c r="Q47" s="5">
        <v>137654</v>
      </c>
      <c r="R47" s="5"/>
      <c r="S47" s="5">
        <v>439636</v>
      </c>
      <c r="T47" s="5"/>
      <c r="U47" s="5">
        <v>0</v>
      </c>
      <c r="V47" s="5"/>
      <c r="W47" s="5">
        <v>520005</v>
      </c>
      <c r="X47" s="5"/>
      <c r="Y47" s="5">
        <f t="shared" si="2"/>
        <v>41906719</v>
      </c>
      <c r="Z47" s="5"/>
      <c r="AA47" s="5">
        <v>1116708</v>
      </c>
      <c r="AB47" s="5"/>
      <c r="AC47" s="5">
        <v>42154503</v>
      </c>
      <c r="AD47" s="5"/>
      <c r="AE47" s="5">
        <f t="shared" si="4"/>
        <v>43271211</v>
      </c>
      <c r="AF47" s="6">
        <v>0</v>
      </c>
      <c r="AG47" s="11"/>
    </row>
    <row r="48" spans="1:33" ht="12.75" hidden="1">
      <c r="A48" s="4" t="s">
        <v>255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2"/>
        <v>0</v>
      </c>
      <c r="Z48" s="5"/>
      <c r="AA48" s="5"/>
      <c r="AB48" s="5"/>
      <c r="AC48" s="5"/>
      <c r="AD48" s="5"/>
      <c r="AE48" s="5">
        <f t="shared" si="4"/>
        <v>0</v>
      </c>
      <c r="AF48" s="6">
        <v>0</v>
      </c>
      <c r="AG48" s="11"/>
    </row>
    <row r="49" spans="1:33" ht="12.75">
      <c r="A49" s="4" t="s">
        <v>46</v>
      </c>
      <c r="B49" s="5"/>
      <c r="C49" s="5">
        <v>5853638</v>
      </c>
      <c r="D49" s="5"/>
      <c r="E49" s="5">
        <v>3465112</v>
      </c>
      <c r="F49" s="5"/>
      <c r="G49" s="5">
        <v>9640492</v>
      </c>
      <c r="H49" s="5"/>
      <c r="I49" s="5">
        <v>7710983</v>
      </c>
      <c r="J49" s="5"/>
      <c r="K49" s="5">
        <v>16649240</v>
      </c>
      <c r="L49" s="5"/>
      <c r="M49" s="5">
        <v>20598279</v>
      </c>
      <c r="N49" s="5"/>
      <c r="O49" s="5">
        <v>1343160</v>
      </c>
      <c r="P49" s="5"/>
      <c r="Q49" s="5">
        <v>13168</v>
      </c>
      <c r="R49" s="5"/>
      <c r="S49" s="5">
        <v>0</v>
      </c>
      <c r="T49" s="5"/>
      <c r="U49" s="5">
        <v>116436</v>
      </c>
      <c r="V49" s="5"/>
      <c r="W49" s="5">
        <v>1798202</v>
      </c>
      <c r="X49" s="5"/>
      <c r="Y49" s="5">
        <f t="shared" si="2"/>
        <v>67188710</v>
      </c>
      <c r="Z49" s="5"/>
      <c r="AA49" s="5">
        <v>5080845</v>
      </c>
      <c r="AB49" s="5"/>
      <c r="AC49" s="5">
        <v>85951885</v>
      </c>
      <c r="AD49" s="5"/>
      <c r="AE49" s="5">
        <f t="shared" si="4"/>
        <v>91032730</v>
      </c>
      <c r="AF49" s="6">
        <v>0</v>
      </c>
      <c r="AG49" s="11"/>
    </row>
    <row r="50" spans="1:33" ht="12.75">
      <c r="A50" s="4" t="s">
        <v>47</v>
      </c>
      <c r="B50" s="5"/>
      <c r="C50" s="5">
        <v>6108746</v>
      </c>
      <c r="D50" s="5"/>
      <c r="E50" s="5">
        <v>2212826</v>
      </c>
      <c r="F50" s="5"/>
      <c r="G50" s="5">
        <v>6052403</v>
      </c>
      <c r="H50" s="5"/>
      <c r="I50" s="5">
        <v>6033806</v>
      </c>
      <c r="J50" s="5"/>
      <c r="K50" s="5">
        <v>450181</v>
      </c>
      <c r="L50" s="5"/>
      <c r="M50" s="5">
        <v>12082987</v>
      </c>
      <c r="N50" s="5"/>
      <c r="O50" s="5">
        <v>0</v>
      </c>
      <c r="P50" s="5"/>
      <c r="Q50" s="5">
        <v>0</v>
      </c>
      <c r="R50" s="5"/>
      <c r="S50" s="5">
        <v>0</v>
      </c>
      <c r="T50" s="5"/>
      <c r="U50" s="5">
        <v>1651020</v>
      </c>
      <c r="V50" s="5"/>
      <c r="W50" s="5">
        <v>520280</v>
      </c>
      <c r="X50" s="5"/>
      <c r="Y50" s="5">
        <f t="shared" si="2"/>
        <v>35112249</v>
      </c>
      <c r="Z50" s="5"/>
      <c r="AA50" s="5">
        <v>4325849</v>
      </c>
      <c r="AB50" s="5"/>
      <c r="AC50" s="5">
        <v>64531354</v>
      </c>
      <c r="AD50" s="5"/>
      <c r="AE50" s="5">
        <f t="shared" si="4"/>
        <v>68857203</v>
      </c>
      <c r="AF50" s="6">
        <v>0</v>
      </c>
      <c r="AG50" s="11"/>
    </row>
    <row r="51" spans="1:33" ht="12.75">
      <c r="A51" s="4" t="s">
        <v>48</v>
      </c>
      <c r="B51" s="5"/>
      <c r="C51" s="5">
        <v>18408426</v>
      </c>
      <c r="D51" s="5"/>
      <c r="E51" s="5">
        <v>47432303</v>
      </c>
      <c r="F51" s="5"/>
      <c r="G51" s="5">
        <v>0</v>
      </c>
      <c r="H51" s="5"/>
      <c r="I51" s="5">
        <v>13567033</v>
      </c>
      <c r="J51" s="5"/>
      <c r="K51" s="5">
        <v>23841060</v>
      </c>
      <c r="L51" s="5"/>
      <c r="M51" s="5">
        <v>71951431</v>
      </c>
      <c r="N51" s="5"/>
      <c r="O51" s="5">
        <v>3314613</v>
      </c>
      <c r="P51" s="5"/>
      <c r="Q51" s="5">
        <v>0</v>
      </c>
      <c r="R51" s="5"/>
      <c r="S51" s="5">
        <v>0</v>
      </c>
      <c r="T51" s="5"/>
      <c r="U51" s="5">
        <v>0</v>
      </c>
      <c r="V51" s="5"/>
      <c r="W51" s="5">
        <v>1741964</v>
      </c>
      <c r="X51" s="5"/>
      <c r="Y51" s="5">
        <f t="shared" si="2"/>
        <v>180256830</v>
      </c>
      <c r="Z51" s="5"/>
      <c r="AA51" s="5">
        <v>10055636</v>
      </c>
      <c r="AB51" s="5"/>
      <c r="AC51" s="5">
        <v>258839183</v>
      </c>
      <c r="AD51" s="5"/>
      <c r="AE51" s="5">
        <f t="shared" si="4"/>
        <v>268894819</v>
      </c>
      <c r="AF51" s="6">
        <v>0</v>
      </c>
      <c r="AG51" s="11"/>
    </row>
    <row r="52" spans="1:33" ht="12.75" hidden="1">
      <c r="A52" s="4" t="s">
        <v>170</v>
      </c>
      <c r="B52" s="5"/>
      <c r="C52" s="5">
        <v>0</v>
      </c>
      <c r="D52" s="5"/>
      <c r="E52" s="5">
        <v>0</v>
      </c>
      <c r="F52" s="5"/>
      <c r="G52" s="5">
        <v>0</v>
      </c>
      <c r="H52" s="5"/>
      <c r="I52" s="5">
        <v>0</v>
      </c>
      <c r="J52" s="5"/>
      <c r="K52" s="5">
        <v>0</v>
      </c>
      <c r="L52" s="5"/>
      <c r="M52" s="5">
        <v>0</v>
      </c>
      <c r="N52" s="5"/>
      <c r="O52" s="5">
        <v>0</v>
      </c>
      <c r="P52" s="5"/>
      <c r="Q52" s="5">
        <v>0</v>
      </c>
      <c r="R52" s="5"/>
      <c r="S52" s="5">
        <v>0</v>
      </c>
      <c r="T52" s="5"/>
      <c r="U52" s="5">
        <v>0</v>
      </c>
      <c r="V52" s="5"/>
      <c r="W52" s="5">
        <v>0</v>
      </c>
      <c r="X52" s="5"/>
      <c r="Y52" s="5">
        <f t="shared" si="2"/>
        <v>0</v>
      </c>
      <c r="Z52" s="5"/>
      <c r="AA52" s="5">
        <v>0</v>
      </c>
      <c r="AB52" s="5"/>
      <c r="AC52" s="5">
        <v>0</v>
      </c>
      <c r="AD52" s="5"/>
      <c r="AE52" s="5">
        <f t="shared" si="4"/>
        <v>0</v>
      </c>
      <c r="AF52" s="6">
        <v>0</v>
      </c>
      <c r="AG52" s="11"/>
    </row>
    <row r="53" spans="1:33" ht="12.75">
      <c r="A53" s="4" t="s">
        <v>49</v>
      </c>
      <c r="B53" s="5"/>
      <c r="C53" s="5">
        <v>20786809</v>
      </c>
      <c r="D53" s="5"/>
      <c r="E53" s="5">
        <v>0</v>
      </c>
      <c r="F53" s="5"/>
      <c r="G53" s="5">
        <v>20221025</v>
      </c>
      <c r="H53" s="5"/>
      <c r="I53" s="5">
        <v>7150161</v>
      </c>
      <c r="J53" s="5"/>
      <c r="K53" s="5">
        <v>680458</v>
      </c>
      <c r="L53" s="5"/>
      <c r="M53" s="5">
        <v>41153930</v>
      </c>
      <c r="N53" s="5"/>
      <c r="O53" s="5">
        <v>1888856</v>
      </c>
      <c r="P53" s="5"/>
      <c r="Q53" s="5">
        <v>0</v>
      </c>
      <c r="R53" s="5"/>
      <c r="S53" s="5">
        <v>0</v>
      </c>
      <c r="T53" s="5"/>
      <c r="U53" s="5">
        <v>2906423</v>
      </c>
      <c r="V53" s="5"/>
      <c r="W53" s="5">
        <v>797065</v>
      </c>
      <c r="X53" s="5"/>
      <c r="Y53" s="5">
        <f t="shared" si="2"/>
        <v>95584727</v>
      </c>
      <c r="Z53" s="5"/>
      <c r="AA53" s="5">
        <v>12480281</v>
      </c>
      <c r="AB53" s="5"/>
      <c r="AC53" s="5">
        <v>85736834</v>
      </c>
      <c r="AD53" s="5"/>
      <c r="AE53" s="5">
        <f t="shared" si="4"/>
        <v>98217115</v>
      </c>
      <c r="AF53" s="6">
        <v>0</v>
      </c>
      <c r="AG53" s="11"/>
    </row>
    <row r="54" spans="1:33" ht="12.75">
      <c r="A54" s="4" t="s">
        <v>50</v>
      </c>
      <c r="B54" s="5"/>
      <c r="C54" s="5">
        <v>4919699</v>
      </c>
      <c r="D54" s="5"/>
      <c r="E54" s="5">
        <v>2985165</v>
      </c>
      <c r="F54" s="5"/>
      <c r="G54" s="5">
        <v>6669876</v>
      </c>
      <c r="H54" s="5"/>
      <c r="I54" s="5">
        <v>6267671</v>
      </c>
      <c r="J54" s="5"/>
      <c r="K54" s="5">
        <v>2012848</v>
      </c>
      <c r="L54" s="5"/>
      <c r="M54" s="5">
        <v>12941345</v>
      </c>
      <c r="N54" s="5"/>
      <c r="O54" s="5">
        <v>209585</v>
      </c>
      <c r="P54" s="5"/>
      <c r="Q54" s="5">
        <v>366736</v>
      </c>
      <c r="R54" s="5"/>
      <c r="S54" s="5">
        <v>324351</v>
      </c>
      <c r="T54" s="5"/>
      <c r="U54" s="5">
        <v>0</v>
      </c>
      <c r="V54" s="5"/>
      <c r="W54" s="5">
        <v>417339</v>
      </c>
      <c r="X54" s="5"/>
      <c r="Y54" s="5">
        <f t="shared" si="2"/>
        <v>37114615</v>
      </c>
      <c r="Z54" s="5"/>
      <c r="AA54" s="5">
        <v>3573534</v>
      </c>
      <c r="AB54" s="5"/>
      <c r="AC54" s="5">
        <v>75817017</v>
      </c>
      <c r="AD54" s="5"/>
      <c r="AE54" s="5">
        <f t="shared" si="4"/>
        <v>79390551</v>
      </c>
      <c r="AF54" s="6">
        <v>0</v>
      </c>
      <c r="AG54" s="11"/>
    </row>
    <row r="55" spans="1:33" ht="12.75">
      <c r="A55" s="4" t="s">
        <v>260</v>
      </c>
      <c r="B55" s="5"/>
      <c r="C55" s="5">
        <v>34836782</v>
      </c>
      <c r="D55" s="5"/>
      <c r="E55" s="5">
        <v>19090889</v>
      </c>
      <c r="F55" s="5"/>
      <c r="G55" s="5">
        <v>24600215</v>
      </c>
      <c r="H55" s="5"/>
      <c r="I55" s="5">
        <v>14665502</v>
      </c>
      <c r="J55" s="5"/>
      <c r="K55" s="5">
        <v>45274813</v>
      </c>
      <c r="L55" s="5"/>
      <c r="M55" s="5">
        <v>86585102</v>
      </c>
      <c r="N55" s="5"/>
      <c r="O55" s="5">
        <v>840819</v>
      </c>
      <c r="P55" s="5"/>
      <c r="Q55" s="5">
        <v>0</v>
      </c>
      <c r="R55" s="5"/>
      <c r="S55" s="5">
        <v>0</v>
      </c>
      <c r="T55" s="5"/>
      <c r="U55" s="5">
        <v>0</v>
      </c>
      <c r="V55" s="5"/>
      <c r="W55" s="5">
        <v>1844700</v>
      </c>
      <c r="X55" s="5"/>
      <c r="Y55" s="5">
        <f t="shared" si="2"/>
        <v>227738822</v>
      </c>
      <c r="Z55" s="5"/>
      <c r="AA55" s="5">
        <v>5364926</v>
      </c>
      <c r="AB55" s="5"/>
      <c r="AC55" s="5">
        <v>283541698</v>
      </c>
      <c r="AD55" s="5"/>
      <c r="AE55" s="5">
        <f t="shared" si="4"/>
        <v>288906624</v>
      </c>
      <c r="AF55" s="6">
        <v>0</v>
      </c>
      <c r="AG55" s="11"/>
    </row>
    <row r="56" spans="1:33" ht="12.75">
      <c r="A56" s="4" t="s">
        <v>186</v>
      </c>
      <c r="B56" s="5"/>
      <c r="C56" s="5">
        <v>48609000</v>
      </c>
      <c r="D56" s="5"/>
      <c r="E56" s="5">
        <v>60813000</v>
      </c>
      <c r="F56" s="5"/>
      <c r="G56" s="5">
        <v>84697000</v>
      </c>
      <c r="H56" s="5"/>
      <c r="I56" s="5">
        <v>23047000</v>
      </c>
      <c r="J56" s="5"/>
      <c r="K56" s="5">
        <v>113676000</v>
      </c>
      <c r="L56" s="5"/>
      <c r="M56" s="5">
        <v>132907000</v>
      </c>
      <c r="N56" s="5"/>
      <c r="O56" s="5">
        <v>0</v>
      </c>
      <c r="P56" s="5"/>
      <c r="Q56" s="5">
        <v>7090000</v>
      </c>
      <c r="R56" s="5"/>
      <c r="S56" s="5">
        <v>0</v>
      </c>
      <c r="T56" s="5"/>
      <c r="U56" s="5">
        <v>0</v>
      </c>
      <c r="V56" s="5"/>
      <c r="W56" s="5">
        <v>4189000</v>
      </c>
      <c r="X56" s="5"/>
      <c r="Y56" s="5">
        <f t="shared" si="2"/>
        <v>475028000</v>
      </c>
      <c r="Z56" s="5"/>
      <c r="AA56" s="5">
        <v>21590000</v>
      </c>
      <c r="AB56" s="5"/>
      <c r="AC56" s="5">
        <v>480599000</v>
      </c>
      <c r="AD56" s="5"/>
      <c r="AE56" s="5">
        <f t="shared" si="4"/>
        <v>502189000</v>
      </c>
      <c r="AF56" s="6">
        <v>0</v>
      </c>
      <c r="AG56" s="11"/>
    </row>
    <row r="57" spans="1:33" ht="12.75" hidden="1">
      <c r="A57" s="4" t="s">
        <v>52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f t="shared" si="2"/>
        <v>0</v>
      </c>
      <c r="Z57" s="5"/>
      <c r="AA57" s="5"/>
      <c r="AB57" s="5"/>
      <c r="AC57" s="5"/>
      <c r="AD57" s="5"/>
      <c r="AE57" s="5">
        <f t="shared" si="4"/>
        <v>0</v>
      </c>
      <c r="AF57" s="6">
        <v>0</v>
      </c>
      <c r="AG57" s="11"/>
    </row>
    <row r="58" spans="1:33" ht="12.75">
      <c r="A58" s="4" t="s">
        <v>53</v>
      </c>
      <c r="B58" s="5"/>
      <c r="C58" s="5">
        <v>25993263</v>
      </c>
      <c r="D58" s="5"/>
      <c r="E58" s="5">
        <v>3665404</v>
      </c>
      <c r="F58" s="5"/>
      <c r="G58" s="5">
        <v>21806284</v>
      </c>
      <c r="H58" s="5"/>
      <c r="I58" s="5">
        <v>13339680</v>
      </c>
      <c r="J58" s="5"/>
      <c r="K58" s="5">
        <v>47645268</v>
      </c>
      <c r="L58" s="5"/>
      <c r="M58" s="5">
        <v>71568319</v>
      </c>
      <c r="N58" s="5"/>
      <c r="O58" s="5">
        <v>0</v>
      </c>
      <c r="P58" s="5"/>
      <c r="Q58" s="5">
        <v>0</v>
      </c>
      <c r="R58" s="5"/>
      <c r="S58" s="5">
        <v>0</v>
      </c>
      <c r="T58" s="5"/>
      <c r="U58" s="5">
        <v>0</v>
      </c>
      <c r="V58" s="5"/>
      <c r="W58" s="5">
        <v>2139122</v>
      </c>
      <c r="X58" s="5"/>
      <c r="Y58" s="5">
        <f t="shared" si="2"/>
        <v>186157340</v>
      </c>
      <c r="Z58" s="5"/>
      <c r="AA58" s="5">
        <v>12196417</v>
      </c>
      <c r="AB58" s="5"/>
      <c r="AC58" s="5">
        <v>182803096</v>
      </c>
      <c r="AD58" s="5"/>
      <c r="AE58" s="5">
        <f t="shared" si="4"/>
        <v>194999513</v>
      </c>
      <c r="AF58" s="6">
        <v>0</v>
      </c>
      <c r="AG58" s="11"/>
    </row>
    <row r="59" spans="1:33" ht="12.75">
      <c r="A59" s="4" t="s">
        <v>54</v>
      </c>
      <c r="B59" s="5"/>
      <c r="C59" s="5">
        <v>6559522</v>
      </c>
      <c r="D59" s="5"/>
      <c r="E59" s="5">
        <v>2052712</v>
      </c>
      <c r="F59" s="5"/>
      <c r="G59" s="5">
        <v>9581353</v>
      </c>
      <c r="H59" s="5"/>
      <c r="I59" s="5">
        <v>5310612</v>
      </c>
      <c r="J59" s="5"/>
      <c r="K59" s="5">
        <v>7309630</v>
      </c>
      <c r="L59" s="5"/>
      <c r="M59" s="5">
        <v>13166131</v>
      </c>
      <c r="N59" s="5"/>
      <c r="O59" s="5">
        <v>0</v>
      </c>
      <c r="P59" s="5"/>
      <c r="Q59" s="5">
        <v>226051</v>
      </c>
      <c r="R59" s="5"/>
      <c r="S59" s="5">
        <v>0</v>
      </c>
      <c r="T59" s="5"/>
      <c r="U59" s="5">
        <v>1016777</v>
      </c>
      <c r="V59" s="5"/>
      <c r="W59" s="5">
        <v>571803</v>
      </c>
      <c r="X59" s="5"/>
      <c r="Y59" s="5">
        <f t="shared" si="2"/>
        <v>45794591</v>
      </c>
      <c r="Z59" s="5"/>
      <c r="AA59" s="5">
        <v>6740086</v>
      </c>
      <c r="AB59" s="5"/>
      <c r="AC59" s="5">
        <v>66166857</v>
      </c>
      <c r="AD59" s="5"/>
      <c r="AE59" s="5">
        <f t="shared" si="4"/>
        <v>72906943</v>
      </c>
      <c r="AF59" s="6">
        <v>0</v>
      </c>
      <c r="AG59" s="11"/>
    </row>
    <row r="60" spans="1:33" ht="12.75">
      <c r="A60" s="4" t="s">
        <v>55</v>
      </c>
      <c r="B60" s="5"/>
      <c r="C60" s="5">
        <v>15152843</v>
      </c>
      <c r="D60" s="5"/>
      <c r="E60" s="5">
        <v>9408062</v>
      </c>
      <c r="F60" s="5"/>
      <c r="G60" s="5">
        <v>19796350</v>
      </c>
      <c r="H60" s="5"/>
      <c r="I60" s="5">
        <v>10708219</v>
      </c>
      <c r="J60" s="5"/>
      <c r="K60" s="5">
        <v>23643110</v>
      </c>
      <c r="L60" s="5"/>
      <c r="M60" s="5">
        <v>20146717</v>
      </c>
      <c r="N60" s="5"/>
      <c r="O60" s="5">
        <v>592911</v>
      </c>
      <c r="P60" s="5"/>
      <c r="Q60" s="5">
        <v>0</v>
      </c>
      <c r="R60" s="5"/>
      <c r="S60" s="5">
        <v>0</v>
      </c>
      <c r="T60" s="5"/>
      <c r="U60" s="5">
        <v>418685</v>
      </c>
      <c r="V60" s="5"/>
      <c r="W60" s="5">
        <v>632889</v>
      </c>
      <c r="X60" s="5"/>
      <c r="Y60" s="5">
        <f t="shared" si="2"/>
        <v>100499786</v>
      </c>
      <c r="Z60" s="5"/>
      <c r="AA60" s="5">
        <v>3619767</v>
      </c>
      <c r="AB60" s="5"/>
      <c r="AC60" s="5">
        <v>97088152</v>
      </c>
      <c r="AD60" s="5"/>
      <c r="AE60" s="5">
        <f t="shared" si="4"/>
        <v>100707919</v>
      </c>
      <c r="AF60" s="6">
        <v>0</v>
      </c>
      <c r="AG60" s="11"/>
    </row>
    <row r="61" spans="1:33" ht="12.75" hidden="1">
      <c r="A61" s="4" t="s">
        <v>171</v>
      </c>
      <c r="B61" s="5"/>
      <c r="C61" s="5">
        <v>0</v>
      </c>
      <c r="D61" s="5"/>
      <c r="E61" s="5">
        <v>0</v>
      </c>
      <c r="F61" s="5"/>
      <c r="G61" s="5">
        <v>0</v>
      </c>
      <c r="H61" s="5"/>
      <c r="I61" s="5">
        <v>0</v>
      </c>
      <c r="J61" s="5"/>
      <c r="K61" s="5">
        <v>0</v>
      </c>
      <c r="L61" s="5"/>
      <c r="M61" s="5">
        <v>0</v>
      </c>
      <c r="N61" s="5"/>
      <c r="O61" s="5">
        <v>0</v>
      </c>
      <c r="P61" s="5"/>
      <c r="Q61" s="5">
        <v>0</v>
      </c>
      <c r="R61" s="5"/>
      <c r="S61" s="5">
        <v>0</v>
      </c>
      <c r="T61" s="5"/>
      <c r="U61" s="5">
        <v>0</v>
      </c>
      <c r="V61" s="5"/>
      <c r="W61" s="5">
        <v>0</v>
      </c>
      <c r="X61" s="5"/>
      <c r="Y61" s="5">
        <f t="shared" si="2"/>
        <v>0</v>
      </c>
      <c r="Z61" s="5"/>
      <c r="AA61" s="5">
        <v>0</v>
      </c>
      <c r="AB61" s="5"/>
      <c r="AC61" s="5">
        <v>0</v>
      </c>
      <c r="AD61" s="5"/>
      <c r="AE61" s="5">
        <f t="shared" si="4"/>
        <v>0</v>
      </c>
      <c r="AF61" s="6">
        <v>0</v>
      </c>
      <c r="AG61" s="11"/>
    </row>
    <row r="62" spans="1:33" ht="12.75" hidden="1">
      <c r="A62" s="4" t="s">
        <v>56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2"/>
        <v>0</v>
      </c>
      <c r="Z62" s="5"/>
      <c r="AA62" s="5"/>
      <c r="AB62" s="5"/>
      <c r="AC62" s="5"/>
      <c r="AD62" s="5"/>
      <c r="AE62" s="5">
        <f t="shared" si="4"/>
        <v>0</v>
      </c>
      <c r="AF62" s="6">
        <v>0</v>
      </c>
      <c r="AG62" s="11"/>
    </row>
    <row r="63" spans="1:33" ht="12.75">
      <c r="A63" s="4" t="s">
        <v>57</v>
      </c>
      <c r="B63" s="5"/>
      <c r="C63" s="5">
        <v>13115474</v>
      </c>
      <c r="D63" s="5"/>
      <c r="E63" s="5">
        <v>0</v>
      </c>
      <c r="F63" s="5"/>
      <c r="G63" s="5">
        <v>15531350</v>
      </c>
      <c r="H63" s="5"/>
      <c r="I63" s="5">
        <v>8423518</v>
      </c>
      <c r="J63" s="5"/>
      <c r="K63" s="5">
        <v>10841602</v>
      </c>
      <c r="L63" s="5"/>
      <c r="M63" s="5">
        <v>12156374</v>
      </c>
      <c r="N63" s="5"/>
      <c r="O63" s="5">
        <v>0</v>
      </c>
      <c r="P63" s="5"/>
      <c r="Q63" s="5">
        <v>591531</v>
      </c>
      <c r="R63" s="5"/>
      <c r="S63" s="5">
        <v>0</v>
      </c>
      <c r="T63" s="5"/>
      <c r="U63" s="5">
        <v>0</v>
      </c>
      <c r="V63" s="5"/>
      <c r="W63" s="5">
        <v>275322</v>
      </c>
      <c r="X63" s="5"/>
      <c r="Y63" s="5">
        <f t="shared" si="2"/>
        <v>60935171</v>
      </c>
      <c r="Z63" s="5"/>
      <c r="AA63" s="5">
        <v>4514215</v>
      </c>
      <c r="AB63" s="5"/>
      <c r="AC63" s="5">
        <v>126121147</v>
      </c>
      <c r="AD63" s="5"/>
      <c r="AE63" s="5">
        <f t="shared" si="4"/>
        <v>130635362</v>
      </c>
      <c r="AF63" s="6">
        <v>0</v>
      </c>
      <c r="AG63" s="11"/>
    </row>
    <row r="64" spans="1:33" ht="12.75">
      <c r="A64" s="4" t="s">
        <v>58</v>
      </c>
      <c r="B64" s="5"/>
      <c r="C64" s="5">
        <v>1598202</v>
      </c>
      <c r="D64" s="5"/>
      <c r="E64" s="5">
        <v>691134</v>
      </c>
      <c r="F64" s="5"/>
      <c r="G64" s="5">
        <v>1718238</v>
      </c>
      <c r="H64" s="5"/>
      <c r="I64" s="5">
        <v>3211291</v>
      </c>
      <c r="J64" s="5"/>
      <c r="K64" s="5">
        <v>1788431</v>
      </c>
      <c r="L64" s="5"/>
      <c r="M64" s="5">
        <v>7635759</v>
      </c>
      <c r="N64" s="5"/>
      <c r="O64" s="5">
        <v>547085</v>
      </c>
      <c r="P64" s="5"/>
      <c r="Q64" s="5">
        <v>0</v>
      </c>
      <c r="R64" s="5"/>
      <c r="S64" s="5">
        <v>0</v>
      </c>
      <c r="T64" s="5"/>
      <c r="U64" s="5">
        <v>0</v>
      </c>
      <c r="V64" s="5"/>
      <c r="W64" s="5">
        <v>7611</v>
      </c>
      <c r="X64" s="5"/>
      <c r="Y64" s="5">
        <f t="shared" si="2"/>
        <v>17197751</v>
      </c>
      <c r="Z64" s="5"/>
      <c r="AA64" s="5">
        <v>1352394</v>
      </c>
      <c r="AB64" s="5"/>
      <c r="AC64" s="5">
        <v>19459775</v>
      </c>
      <c r="AD64" s="5"/>
      <c r="AE64" s="5">
        <f t="shared" si="4"/>
        <v>20812169</v>
      </c>
      <c r="AF64" s="6">
        <v>0</v>
      </c>
      <c r="AG64" s="11"/>
    </row>
    <row r="65" spans="1:33" ht="12.75">
      <c r="A65" s="4" t="s">
        <v>59</v>
      </c>
      <c r="B65" s="5"/>
      <c r="C65" s="5">
        <v>44923346</v>
      </c>
      <c r="D65" s="5"/>
      <c r="E65" s="5">
        <v>143044600</v>
      </c>
      <c r="F65" s="5"/>
      <c r="G65" s="5">
        <v>0</v>
      </c>
      <c r="H65" s="5"/>
      <c r="I65" s="5">
        <v>17003779</v>
      </c>
      <c r="J65" s="5"/>
      <c r="K65" s="5">
        <v>0</v>
      </c>
      <c r="L65" s="5"/>
      <c r="M65" s="5">
        <v>279037715</v>
      </c>
      <c r="N65" s="5"/>
      <c r="O65" s="5">
        <v>16029837</v>
      </c>
      <c r="P65" s="5"/>
      <c r="Q65" s="5">
        <v>0</v>
      </c>
      <c r="R65" s="5"/>
      <c r="S65" s="5">
        <v>0</v>
      </c>
      <c r="T65" s="5"/>
      <c r="U65" s="5">
        <v>0</v>
      </c>
      <c r="V65" s="5"/>
      <c r="W65" s="5">
        <v>2411043</v>
      </c>
      <c r="X65" s="5"/>
      <c r="Y65" s="5">
        <f t="shared" si="2"/>
        <v>502450320</v>
      </c>
      <c r="Z65" s="5"/>
      <c r="AA65" s="5">
        <v>19977202</v>
      </c>
      <c r="AB65" s="5"/>
      <c r="AC65" s="5">
        <v>771071662</v>
      </c>
      <c r="AD65" s="5"/>
      <c r="AE65" s="5">
        <f t="shared" si="4"/>
        <v>791048864</v>
      </c>
      <c r="AF65" s="6">
        <v>0</v>
      </c>
      <c r="AG65" s="11"/>
    </row>
    <row r="66" spans="1:33" ht="12.75" hidden="1">
      <c r="A66" s="4" t="s">
        <v>60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2"/>
        <v>0</v>
      </c>
      <c r="Z66" s="5"/>
      <c r="AA66" s="5"/>
      <c r="AB66" s="5"/>
      <c r="AC66" s="5"/>
      <c r="AD66" s="5"/>
      <c r="AE66" s="5">
        <f t="shared" si="4"/>
        <v>0</v>
      </c>
      <c r="AF66" s="6">
        <v>0</v>
      </c>
      <c r="AG66" s="11"/>
    </row>
    <row r="67" spans="1:33" ht="12.75">
      <c r="A67" s="4" t="s">
        <v>97</v>
      </c>
      <c r="B67" s="5"/>
      <c r="C67" s="5">
        <v>3808026</v>
      </c>
      <c r="D67" s="5"/>
      <c r="E67" s="5">
        <v>1685355</v>
      </c>
      <c r="F67" s="5"/>
      <c r="G67" s="5">
        <v>5157646</v>
      </c>
      <c r="H67" s="5"/>
      <c r="I67" s="5">
        <v>4173038</v>
      </c>
      <c r="J67" s="5"/>
      <c r="K67" s="5">
        <v>2074935</v>
      </c>
      <c r="L67" s="5"/>
      <c r="M67" s="5">
        <v>7453749</v>
      </c>
      <c r="N67" s="5"/>
      <c r="O67" s="5">
        <v>69603</v>
      </c>
      <c r="P67" s="5"/>
      <c r="Q67" s="5">
        <v>0</v>
      </c>
      <c r="R67" s="5"/>
      <c r="S67" s="5">
        <v>732646</v>
      </c>
      <c r="T67" s="5"/>
      <c r="U67" s="5">
        <v>423974</v>
      </c>
      <c r="V67" s="5"/>
      <c r="W67" s="5">
        <v>279446</v>
      </c>
      <c r="X67" s="5"/>
      <c r="Y67" s="5">
        <f t="shared" si="2"/>
        <v>25858418</v>
      </c>
      <c r="Z67" s="5"/>
      <c r="AA67" s="5">
        <v>-138613</v>
      </c>
      <c r="AB67" s="5"/>
      <c r="AC67" s="5">
        <v>35432853</v>
      </c>
      <c r="AD67" s="5"/>
      <c r="AE67" s="5">
        <f t="shared" si="4"/>
        <v>35294240</v>
      </c>
      <c r="AF67" s="6">
        <v>0</v>
      </c>
      <c r="AG67" s="11"/>
    </row>
    <row r="68" spans="1:33" ht="12.75">
      <c r="A68" s="4" t="s">
        <v>61</v>
      </c>
      <c r="B68" s="5"/>
      <c r="C68" s="5">
        <v>9950803</v>
      </c>
      <c r="D68" s="5"/>
      <c r="E68" s="5">
        <v>6228706</v>
      </c>
      <c r="F68" s="5"/>
      <c r="G68" s="5">
        <v>10781512</v>
      </c>
      <c r="H68" s="5"/>
      <c r="I68" s="5">
        <v>9833308</v>
      </c>
      <c r="J68" s="5"/>
      <c r="K68" s="5">
        <v>1229423</v>
      </c>
      <c r="L68" s="5"/>
      <c r="M68" s="5">
        <v>36982530</v>
      </c>
      <c r="N68" s="5"/>
      <c r="O68" s="5">
        <v>0</v>
      </c>
      <c r="P68" s="5"/>
      <c r="Q68" s="5">
        <v>0</v>
      </c>
      <c r="R68" s="5"/>
      <c r="S68" s="5">
        <v>0</v>
      </c>
      <c r="T68" s="5"/>
      <c r="U68" s="5">
        <v>2827253</v>
      </c>
      <c r="V68" s="5"/>
      <c r="W68" s="5">
        <v>803774</v>
      </c>
      <c r="X68" s="5"/>
      <c r="Y68" s="5">
        <f t="shared" si="2"/>
        <v>78637309</v>
      </c>
      <c r="Z68" s="5"/>
      <c r="AA68" s="5">
        <v>815781</v>
      </c>
      <c r="AB68" s="5"/>
      <c r="AC68" s="5">
        <v>116095395</v>
      </c>
      <c r="AD68" s="5"/>
      <c r="AE68" s="5">
        <f t="shared" si="4"/>
        <v>116911176</v>
      </c>
      <c r="AF68" s="6">
        <v>0</v>
      </c>
      <c r="AG68" s="11"/>
    </row>
    <row r="69" spans="1:33" ht="12.75">
      <c r="A69" s="4" t="s">
        <v>62</v>
      </c>
      <c r="B69" s="5"/>
      <c r="C69" s="5">
        <v>1647460</v>
      </c>
      <c r="D69" s="5"/>
      <c r="E69" s="5">
        <v>463261</v>
      </c>
      <c r="F69" s="5"/>
      <c r="G69" s="5">
        <v>1231673</v>
      </c>
      <c r="H69" s="5"/>
      <c r="I69" s="5">
        <v>2998149</v>
      </c>
      <c r="J69" s="5"/>
      <c r="K69" s="5">
        <v>838398</v>
      </c>
      <c r="L69" s="5"/>
      <c r="M69" s="5">
        <v>4733335</v>
      </c>
      <c r="N69" s="5"/>
      <c r="O69" s="5">
        <v>526991</v>
      </c>
      <c r="P69" s="5"/>
      <c r="Q69" s="5">
        <v>0</v>
      </c>
      <c r="R69" s="5"/>
      <c r="S69" s="5">
        <v>0</v>
      </c>
      <c r="T69" s="5"/>
      <c r="U69" s="5">
        <v>183356</v>
      </c>
      <c r="V69" s="5"/>
      <c r="W69" s="5">
        <v>57043</v>
      </c>
      <c r="X69" s="5"/>
      <c r="Y69" s="5">
        <f t="shared" si="2"/>
        <v>12679666</v>
      </c>
      <c r="Z69" s="5"/>
      <c r="AA69" s="5">
        <v>397071</v>
      </c>
      <c r="AB69" s="5"/>
      <c r="AC69" s="5">
        <v>28418637</v>
      </c>
      <c r="AD69" s="5"/>
      <c r="AE69" s="5">
        <f aca="true" t="shared" si="5" ref="AE69:AE74">+AC69+AA69</f>
        <v>28815708</v>
      </c>
      <c r="AF69" s="6">
        <f>+'St of Net Assets - GA'!W69-'St of Activities - GA Exp'!AE69</f>
        <v>0</v>
      </c>
      <c r="AG69" s="11"/>
    </row>
    <row r="70" spans="1:33" ht="12.75">
      <c r="A70" s="4" t="s">
        <v>63</v>
      </c>
      <c r="B70" s="5"/>
      <c r="C70" s="5">
        <v>4657493</v>
      </c>
      <c r="D70" s="5"/>
      <c r="E70" s="5">
        <v>2752385</v>
      </c>
      <c r="F70" s="5"/>
      <c r="G70" s="5">
        <v>6221187</v>
      </c>
      <c r="H70" s="5"/>
      <c r="I70" s="5">
        <v>6502319</v>
      </c>
      <c r="J70" s="5"/>
      <c r="K70" s="5">
        <v>175639</v>
      </c>
      <c r="L70" s="5"/>
      <c r="M70" s="5">
        <v>15092156</v>
      </c>
      <c r="N70" s="5"/>
      <c r="O70" s="5">
        <v>4700</v>
      </c>
      <c r="P70" s="5"/>
      <c r="Q70" s="5">
        <v>48309</v>
      </c>
      <c r="R70" s="5"/>
      <c r="S70" s="5">
        <v>356015</v>
      </c>
      <c r="T70" s="5"/>
      <c r="U70" s="5">
        <v>0</v>
      </c>
      <c r="V70" s="5"/>
      <c r="W70" s="5">
        <v>1149763</v>
      </c>
      <c r="X70" s="5"/>
      <c r="Y70" s="5">
        <f t="shared" si="2"/>
        <v>36959966</v>
      </c>
      <c r="Z70" s="5"/>
      <c r="AA70" s="5">
        <v>10616432</v>
      </c>
      <c r="AB70" s="5"/>
      <c r="AC70" s="5">
        <v>46425439</v>
      </c>
      <c r="AD70" s="5"/>
      <c r="AE70" s="5">
        <f t="shared" si="5"/>
        <v>57041871</v>
      </c>
      <c r="AF70" s="6">
        <f>+'St of Net Assets - GA'!W70-'St of Activities - GA Exp'!AE70</f>
        <v>0</v>
      </c>
      <c r="AG70" s="11"/>
    </row>
    <row r="71" spans="1:33" ht="12.75" hidden="1">
      <c r="A71" s="4" t="s">
        <v>132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>
        <f t="shared" si="2"/>
        <v>0</v>
      </c>
      <c r="Z71" s="5"/>
      <c r="AA71" s="5"/>
      <c r="AB71" s="5"/>
      <c r="AC71" s="5"/>
      <c r="AD71" s="5"/>
      <c r="AE71" s="5">
        <f t="shared" si="5"/>
        <v>0</v>
      </c>
      <c r="AF71" s="6">
        <f>+'St of Net Assets - GA'!W71-'St of Activities - GA Exp'!AE71</f>
        <v>0</v>
      </c>
      <c r="AG71" s="11"/>
    </row>
    <row r="72" spans="1:33" ht="12.75" hidden="1">
      <c r="A72" s="4" t="s">
        <v>64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>
        <f t="shared" si="2"/>
        <v>0</v>
      </c>
      <c r="Z72" s="5"/>
      <c r="AA72" s="5"/>
      <c r="AB72" s="5"/>
      <c r="AC72" s="5"/>
      <c r="AD72" s="5"/>
      <c r="AE72" s="5">
        <f t="shared" si="5"/>
        <v>0</v>
      </c>
      <c r="AF72" s="6">
        <f>+'St of Net Assets - GA'!W72-'St of Activities - GA Exp'!AE72</f>
        <v>0</v>
      </c>
      <c r="AG72" s="11"/>
    </row>
    <row r="73" spans="1:33" ht="12.75">
      <c r="A73" s="4" t="s">
        <v>65</v>
      </c>
      <c r="B73" s="5"/>
      <c r="C73" s="5">
        <v>4667357</v>
      </c>
      <c r="D73" s="5"/>
      <c r="E73" s="5">
        <v>1688229</v>
      </c>
      <c r="F73" s="5"/>
      <c r="G73" s="5">
        <v>6247785</v>
      </c>
      <c r="H73" s="5"/>
      <c r="I73" s="5">
        <v>3725681</v>
      </c>
      <c r="J73" s="5"/>
      <c r="K73" s="5">
        <v>3630087</v>
      </c>
      <c r="L73" s="5"/>
      <c r="M73" s="5">
        <v>9769225</v>
      </c>
      <c r="N73" s="5"/>
      <c r="O73" s="5">
        <v>618018</v>
      </c>
      <c r="P73" s="5"/>
      <c r="Q73" s="5">
        <v>402930</v>
      </c>
      <c r="R73" s="5"/>
      <c r="S73" s="5">
        <f>33540+492538</f>
        <v>526078</v>
      </c>
      <c r="T73" s="5"/>
      <c r="U73" s="5">
        <v>0</v>
      </c>
      <c r="V73" s="5"/>
      <c r="W73" s="5">
        <v>124191</v>
      </c>
      <c r="X73" s="5"/>
      <c r="Y73" s="5">
        <f t="shared" si="2"/>
        <v>31399581</v>
      </c>
      <c r="Z73" s="5"/>
      <c r="AA73" s="5">
        <v>3990433</v>
      </c>
      <c r="AB73" s="5"/>
      <c r="AC73" s="5">
        <v>35489459</v>
      </c>
      <c r="AD73" s="5"/>
      <c r="AE73" s="5">
        <f t="shared" si="5"/>
        <v>39479892</v>
      </c>
      <c r="AF73" s="6">
        <f>+'St of Net Assets - GA'!W73-'St of Activities - GA Exp'!AE73</f>
        <v>0</v>
      </c>
      <c r="AG73" s="11"/>
    </row>
    <row r="74" spans="1:33" ht="12.75">
      <c r="A74" s="4" t="s">
        <v>66</v>
      </c>
      <c r="B74" s="5"/>
      <c r="C74" s="5">
        <v>2778027</v>
      </c>
      <c r="D74" s="5"/>
      <c r="E74" s="5">
        <v>1009978</v>
      </c>
      <c r="F74" s="5"/>
      <c r="G74" s="5">
        <v>2490630</v>
      </c>
      <c r="H74" s="5"/>
      <c r="I74" s="5">
        <v>5529320</v>
      </c>
      <c r="J74" s="5"/>
      <c r="K74" s="5">
        <v>3394914</v>
      </c>
      <c r="L74" s="5"/>
      <c r="M74" s="5">
        <v>6181650</v>
      </c>
      <c r="N74" s="5"/>
      <c r="O74" s="5">
        <v>703037</v>
      </c>
      <c r="P74" s="5"/>
      <c r="Q74" s="5">
        <v>309651</v>
      </c>
      <c r="R74" s="5"/>
      <c r="S74" s="5">
        <v>942859</v>
      </c>
      <c r="T74" s="5"/>
      <c r="U74" s="5">
        <v>0</v>
      </c>
      <c r="V74" s="5"/>
      <c r="W74" s="5">
        <v>155241</v>
      </c>
      <c r="X74" s="5"/>
      <c r="Y74" s="5">
        <f t="shared" si="2"/>
        <v>23495307</v>
      </c>
      <c r="Z74" s="5"/>
      <c r="AA74" s="5">
        <v>1718783</v>
      </c>
      <c r="AB74" s="5"/>
      <c r="AC74" s="5">
        <v>20795543</v>
      </c>
      <c r="AD74" s="5"/>
      <c r="AE74" s="5">
        <f t="shared" si="5"/>
        <v>22514326</v>
      </c>
      <c r="AF74" s="6">
        <f>+'St of Net Assets - GA'!W74-'St of Activities - GA Exp'!AE74</f>
        <v>0</v>
      </c>
      <c r="AG74" s="11"/>
    </row>
    <row r="75" spans="1:33" ht="12.75">
      <c r="A75" s="4" t="s">
        <v>67</v>
      </c>
      <c r="B75" s="5"/>
      <c r="C75" s="5">
        <v>16203188</v>
      </c>
      <c r="D75" s="5"/>
      <c r="E75" s="5">
        <v>9277244</v>
      </c>
      <c r="F75" s="5"/>
      <c r="G75" s="5">
        <v>14771014</v>
      </c>
      <c r="H75" s="5"/>
      <c r="I75" s="5">
        <v>7755081</v>
      </c>
      <c r="J75" s="5"/>
      <c r="K75" s="5">
        <v>32474249</v>
      </c>
      <c r="L75" s="5"/>
      <c r="M75" s="5">
        <v>23779002</v>
      </c>
      <c r="N75" s="5"/>
      <c r="O75" s="5">
        <v>0</v>
      </c>
      <c r="P75" s="5"/>
      <c r="Q75" s="5">
        <v>0</v>
      </c>
      <c r="R75" s="5"/>
      <c r="S75" s="5">
        <v>0</v>
      </c>
      <c r="T75" s="5"/>
      <c r="U75" s="5">
        <v>0</v>
      </c>
      <c r="V75" s="5"/>
      <c r="W75" s="5">
        <v>756145</v>
      </c>
      <c r="X75" s="5"/>
      <c r="Y75" s="5">
        <f aca="true" t="shared" si="6" ref="Y75:Y97">SUM(C75:W75)</f>
        <v>105015923</v>
      </c>
      <c r="Z75" s="5"/>
      <c r="AA75" s="5">
        <v>12073904</v>
      </c>
      <c r="AB75" s="5"/>
      <c r="AC75" s="5">
        <v>133208850</v>
      </c>
      <c r="AD75" s="5"/>
      <c r="AE75" s="5">
        <f aca="true" t="shared" si="7" ref="AE75:AE97">+AC75+AA75</f>
        <v>145282754</v>
      </c>
      <c r="AF75" s="6">
        <f>+'St of Net Assets - GA'!W75-'St of Activities - GA Exp'!AE75</f>
        <v>0</v>
      </c>
      <c r="AG75" s="11"/>
    </row>
    <row r="76" spans="1:33" ht="12.75">
      <c r="A76" s="4" t="s">
        <v>68</v>
      </c>
      <c r="B76" s="5"/>
      <c r="C76" s="5">
        <v>3681042</v>
      </c>
      <c r="D76" s="5"/>
      <c r="E76" s="5">
        <v>2021664</v>
      </c>
      <c r="F76" s="5"/>
      <c r="G76" s="5">
        <v>4307056</v>
      </c>
      <c r="H76" s="5"/>
      <c r="I76" s="5">
        <v>4485649</v>
      </c>
      <c r="J76" s="5"/>
      <c r="K76" s="5">
        <v>2241353</v>
      </c>
      <c r="L76" s="5"/>
      <c r="M76" s="5">
        <v>8950367</v>
      </c>
      <c r="N76" s="5"/>
      <c r="O76" s="5">
        <v>770712</v>
      </c>
      <c r="P76" s="5"/>
      <c r="Q76" s="5">
        <v>0</v>
      </c>
      <c r="R76" s="5"/>
      <c r="S76" s="5">
        <v>0</v>
      </c>
      <c r="T76" s="5"/>
      <c r="U76" s="5">
        <v>275454</v>
      </c>
      <c r="V76" s="5"/>
      <c r="W76" s="5">
        <v>174629</v>
      </c>
      <c r="X76" s="5"/>
      <c r="Y76" s="5">
        <f t="shared" si="6"/>
        <v>26907926</v>
      </c>
      <c r="Z76" s="5"/>
      <c r="AA76" s="5">
        <v>2600892</v>
      </c>
      <c r="AB76" s="5"/>
      <c r="AC76" s="5">
        <v>22846770</v>
      </c>
      <c r="AD76" s="5"/>
      <c r="AE76" s="5">
        <f t="shared" si="7"/>
        <v>25447662</v>
      </c>
      <c r="AF76" s="6">
        <f>+'St of Net Assets - GA'!W76-'St of Activities - GA Exp'!AE76</f>
        <v>0</v>
      </c>
      <c r="AG76" s="11"/>
    </row>
    <row r="77" spans="1:33" ht="12.75" hidden="1">
      <c r="A77" s="4" t="s">
        <v>176</v>
      </c>
      <c r="B77" s="5"/>
      <c r="C77" s="5">
        <v>0</v>
      </c>
      <c r="D77" s="5"/>
      <c r="E77" s="5">
        <v>0</v>
      </c>
      <c r="F77" s="5"/>
      <c r="G77" s="5">
        <v>0</v>
      </c>
      <c r="H77" s="5"/>
      <c r="I77" s="5">
        <v>0</v>
      </c>
      <c r="J77" s="5"/>
      <c r="K77" s="5">
        <v>0</v>
      </c>
      <c r="L77" s="5"/>
      <c r="M77" s="5">
        <v>0</v>
      </c>
      <c r="N77" s="5"/>
      <c r="O77" s="5">
        <v>0</v>
      </c>
      <c r="P77" s="5"/>
      <c r="Q77" s="5">
        <v>0</v>
      </c>
      <c r="R77" s="5"/>
      <c r="S77" s="5">
        <v>0</v>
      </c>
      <c r="T77" s="5"/>
      <c r="U77" s="5">
        <v>0</v>
      </c>
      <c r="V77" s="5"/>
      <c r="W77" s="5">
        <v>0</v>
      </c>
      <c r="X77" s="5"/>
      <c r="Y77" s="5">
        <f t="shared" si="6"/>
        <v>0</v>
      </c>
      <c r="Z77" s="5"/>
      <c r="AA77" s="5">
        <v>0</v>
      </c>
      <c r="AB77" s="5"/>
      <c r="AC77" s="5">
        <v>0</v>
      </c>
      <c r="AD77" s="5"/>
      <c r="AE77" s="5">
        <f t="shared" si="7"/>
        <v>0</v>
      </c>
      <c r="AF77" s="6">
        <f>+'St of Net Assets - GA'!W77-'St of Activities - GA Exp'!AE77</f>
        <v>0</v>
      </c>
      <c r="AG77" s="11"/>
    </row>
    <row r="78" spans="1:33" ht="12.7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6"/>
      <c r="AG78" s="11"/>
    </row>
    <row r="79" s="15" customFormat="1" ht="12">
      <c r="Y79" s="107" t="s">
        <v>261</v>
      </c>
    </row>
    <row r="80" spans="1:33" s="100" customFormat="1" ht="12.75">
      <c r="A80" s="67" t="s">
        <v>181</v>
      </c>
      <c r="B80" s="26"/>
      <c r="C80" s="26">
        <v>13070105</v>
      </c>
      <c r="D80" s="26"/>
      <c r="E80" s="26">
        <v>8242910</v>
      </c>
      <c r="F80" s="26"/>
      <c r="G80" s="26">
        <v>10535792</v>
      </c>
      <c r="H80" s="26"/>
      <c r="I80" s="26">
        <v>5889116</v>
      </c>
      <c r="J80" s="26"/>
      <c r="K80" s="26">
        <v>31329407</v>
      </c>
      <c r="L80" s="26"/>
      <c r="M80" s="26">
        <v>29125075</v>
      </c>
      <c r="N80" s="26"/>
      <c r="O80" s="26">
        <v>111167</v>
      </c>
      <c r="P80" s="26"/>
      <c r="Q80" s="26">
        <v>145106</v>
      </c>
      <c r="R80" s="26"/>
      <c r="S80" s="26">
        <v>0</v>
      </c>
      <c r="T80" s="26"/>
      <c r="U80" s="26">
        <v>1360626</v>
      </c>
      <c r="V80" s="26"/>
      <c r="W80" s="26">
        <v>1782185</v>
      </c>
      <c r="X80" s="26"/>
      <c r="Y80" s="26">
        <f t="shared" si="6"/>
        <v>101591489</v>
      </c>
      <c r="Z80" s="26"/>
      <c r="AA80" s="26">
        <v>9140316</v>
      </c>
      <c r="AB80" s="26"/>
      <c r="AC80" s="26">
        <v>117396164</v>
      </c>
      <c r="AD80" s="26"/>
      <c r="AE80" s="26">
        <f t="shared" si="7"/>
        <v>126536480</v>
      </c>
      <c r="AF80" s="12">
        <f>+'St of Net Assets - GA'!W80-'St of Activities - GA Exp'!AE80</f>
        <v>0</v>
      </c>
      <c r="AG80" s="12"/>
    </row>
    <row r="81" spans="1:33" ht="12.75">
      <c r="A81" s="4" t="s">
        <v>69</v>
      </c>
      <c r="B81" s="5"/>
      <c r="C81" s="5">
        <v>6679728</v>
      </c>
      <c r="D81" s="5"/>
      <c r="E81" s="5">
        <v>3295833</v>
      </c>
      <c r="F81" s="5"/>
      <c r="G81" s="5">
        <v>10989133</v>
      </c>
      <c r="H81" s="5"/>
      <c r="I81" s="5">
        <v>7755225</v>
      </c>
      <c r="J81" s="5"/>
      <c r="K81" s="5">
        <v>691278</v>
      </c>
      <c r="L81" s="5"/>
      <c r="M81" s="5">
        <v>26473844</v>
      </c>
      <c r="N81" s="5"/>
      <c r="O81" s="5">
        <v>2160618</v>
      </c>
      <c r="P81" s="5"/>
      <c r="Q81" s="5">
        <v>0</v>
      </c>
      <c r="R81" s="5"/>
      <c r="S81" s="5">
        <v>0</v>
      </c>
      <c r="T81" s="5"/>
      <c r="U81" s="5">
        <v>0</v>
      </c>
      <c r="V81" s="5"/>
      <c r="W81" s="5">
        <v>538846</v>
      </c>
      <c r="X81" s="5"/>
      <c r="Y81" s="5">
        <f t="shared" si="6"/>
        <v>58584505</v>
      </c>
      <c r="Z81" s="5"/>
      <c r="AA81" s="5">
        <v>-1093897</v>
      </c>
      <c r="AB81" s="5"/>
      <c r="AC81" s="5">
        <v>38161564</v>
      </c>
      <c r="AD81" s="5"/>
      <c r="AE81" s="5">
        <f t="shared" si="7"/>
        <v>37067667</v>
      </c>
      <c r="AF81" s="6">
        <f>+'St of Net Assets - GA'!W81-'St of Activities - GA Exp'!AE81</f>
        <v>0</v>
      </c>
      <c r="AG81" s="11"/>
    </row>
    <row r="82" spans="1:33" ht="12.75">
      <c r="A82" s="4" t="s">
        <v>98</v>
      </c>
      <c r="B82" s="5"/>
      <c r="C82" s="5">
        <v>4987314</v>
      </c>
      <c r="D82" s="5"/>
      <c r="E82" s="5">
        <v>3524158</v>
      </c>
      <c r="F82" s="5"/>
      <c r="G82" s="5">
        <v>9333750</v>
      </c>
      <c r="H82" s="5"/>
      <c r="I82" s="5">
        <v>4652287</v>
      </c>
      <c r="J82" s="5"/>
      <c r="K82" s="5">
        <v>426923</v>
      </c>
      <c r="L82" s="5"/>
      <c r="M82" s="5">
        <v>21487788</v>
      </c>
      <c r="N82" s="5"/>
      <c r="O82" s="5">
        <v>1828973</v>
      </c>
      <c r="P82" s="5"/>
      <c r="Q82" s="5">
        <v>0</v>
      </c>
      <c r="R82" s="5"/>
      <c r="S82" s="5">
        <v>221499</v>
      </c>
      <c r="T82" s="5"/>
      <c r="U82" s="5">
        <v>170400</v>
      </c>
      <c r="V82" s="5"/>
      <c r="W82" s="5">
        <v>314484</v>
      </c>
      <c r="X82" s="5"/>
      <c r="Y82" s="5">
        <f t="shared" si="6"/>
        <v>46947576</v>
      </c>
      <c r="Z82" s="5"/>
      <c r="AA82" s="5">
        <v>3112411</v>
      </c>
      <c r="AB82" s="5"/>
      <c r="AC82" s="5">
        <v>60432963</v>
      </c>
      <c r="AD82" s="5"/>
      <c r="AE82" s="5">
        <f t="shared" si="7"/>
        <v>63545374</v>
      </c>
      <c r="AF82" s="6">
        <f>+'St of Net Assets - GA'!W82-'St of Activities - GA Exp'!AE82</f>
        <v>0</v>
      </c>
      <c r="AG82" s="11"/>
    </row>
    <row r="83" spans="1:33" ht="12.75">
      <c r="A83" s="4" t="s">
        <v>70</v>
      </c>
      <c r="B83" s="5"/>
      <c r="C83" s="5">
        <v>7440345</v>
      </c>
      <c r="D83" s="5"/>
      <c r="E83" s="5">
        <v>2505053</v>
      </c>
      <c r="F83" s="5"/>
      <c r="G83" s="5">
        <f>5665084+2807801</f>
        <v>8472885</v>
      </c>
      <c r="H83" s="5"/>
      <c r="I83" s="5">
        <v>4423969</v>
      </c>
      <c r="J83" s="5"/>
      <c r="K83" s="5">
        <v>8204327</v>
      </c>
      <c r="L83" s="5"/>
      <c r="M83" s="5">
        <v>18282091</v>
      </c>
      <c r="N83" s="5"/>
      <c r="O83" s="5">
        <v>618744</v>
      </c>
      <c r="P83" s="5"/>
      <c r="Q83" s="5">
        <v>360363</v>
      </c>
      <c r="R83" s="5"/>
      <c r="S83" s="5">
        <f>1004035+3061886</f>
        <v>4065921</v>
      </c>
      <c r="T83" s="5"/>
      <c r="U83" s="5">
        <v>0</v>
      </c>
      <c r="V83" s="5"/>
      <c r="W83" s="5">
        <v>767326</v>
      </c>
      <c r="X83" s="5"/>
      <c r="Y83" s="5">
        <f t="shared" si="6"/>
        <v>55141024</v>
      </c>
      <c r="Z83" s="5"/>
      <c r="AA83" s="5">
        <v>-87213</v>
      </c>
      <c r="AB83" s="5"/>
      <c r="AC83" s="5">
        <v>41844017</v>
      </c>
      <c r="AD83" s="5"/>
      <c r="AE83" s="5">
        <f t="shared" si="7"/>
        <v>41756804</v>
      </c>
      <c r="AF83" s="6">
        <f>+'St of Net Assets - GA'!W83-'St of Activities - GA Exp'!AE83</f>
        <v>0</v>
      </c>
      <c r="AG83" s="11"/>
    </row>
    <row r="84" spans="1:33" s="79" customFormat="1" ht="12.75">
      <c r="A84" s="1" t="s">
        <v>71</v>
      </c>
      <c r="B84" s="5"/>
      <c r="C84" s="5">
        <v>2843352</v>
      </c>
      <c r="D84" s="5"/>
      <c r="E84" s="5">
        <v>2418830</v>
      </c>
      <c r="F84" s="5"/>
      <c r="G84" s="5">
        <v>9349524</v>
      </c>
      <c r="H84" s="5"/>
      <c r="I84" s="5">
        <v>5026704</v>
      </c>
      <c r="J84" s="5"/>
      <c r="K84" s="5">
        <v>8674928</v>
      </c>
      <c r="L84" s="5"/>
      <c r="M84" s="5">
        <v>9655044</v>
      </c>
      <c r="N84" s="5"/>
      <c r="O84" s="5">
        <f>936157</f>
        <v>936157</v>
      </c>
      <c r="P84" s="5"/>
      <c r="Q84" s="5">
        <v>392344</v>
      </c>
      <c r="R84" s="5"/>
      <c r="S84" s="5">
        <v>0</v>
      </c>
      <c r="T84" s="5"/>
      <c r="U84" s="5">
        <v>0</v>
      </c>
      <c r="V84" s="5"/>
      <c r="W84" s="5">
        <v>328970</v>
      </c>
      <c r="X84" s="5"/>
      <c r="Y84" s="5">
        <f>SUM(C84:W84)</f>
        <v>39625853</v>
      </c>
      <c r="Z84" s="5"/>
      <c r="AA84" s="5">
        <v>6473933</v>
      </c>
      <c r="AB84" s="5"/>
      <c r="AC84" s="5">
        <v>75577204</v>
      </c>
      <c r="AD84" s="5"/>
      <c r="AE84" s="5">
        <f>+AC84+AA84</f>
        <v>82051137</v>
      </c>
      <c r="AF84" s="6">
        <f>+'St of Net Assets - GA'!W84-'St of Activities - GA Exp'!AE84</f>
        <v>0</v>
      </c>
      <c r="AG84" s="6"/>
    </row>
    <row r="85" spans="1:33" s="79" customFormat="1" ht="12.75">
      <c r="A85" s="1" t="s">
        <v>72</v>
      </c>
      <c r="B85" s="5"/>
      <c r="C85" s="5">
        <v>4489207</v>
      </c>
      <c r="D85" s="5"/>
      <c r="E85" s="5">
        <v>2462581</v>
      </c>
      <c r="F85" s="5"/>
      <c r="G85" s="5">
        <v>4964744</v>
      </c>
      <c r="H85" s="5"/>
      <c r="I85" s="5">
        <v>6810256</v>
      </c>
      <c r="J85" s="5"/>
      <c r="K85" s="5">
        <v>191941</v>
      </c>
      <c r="L85" s="5"/>
      <c r="M85" s="5">
        <v>15428340</v>
      </c>
      <c r="N85" s="5"/>
      <c r="O85" s="5">
        <v>631909</v>
      </c>
      <c r="P85" s="5"/>
      <c r="Q85" s="5">
        <v>0</v>
      </c>
      <c r="R85" s="5"/>
      <c r="S85" s="5">
        <v>0</v>
      </c>
      <c r="T85" s="5"/>
      <c r="U85" s="5">
        <v>429522</v>
      </c>
      <c r="V85" s="5"/>
      <c r="W85" s="5">
        <v>91935</v>
      </c>
      <c r="X85" s="5"/>
      <c r="Y85" s="5">
        <f t="shared" si="6"/>
        <v>35500435</v>
      </c>
      <c r="Z85" s="5"/>
      <c r="AA85" s="5">
        <v>4366119</v>
      </c>
      <c r="AB85" s="5"/>
      <c r="AC85" s="5">
        <v>44320304</v>
      </c>
      <c r="AD85" s="5"/>
      <c r="AE85" s="5">
        <f t="shared" si="7"/>
        <v>48686423</v>
      </c>
      <c r="AF85" s="6">
        <f>+'St of Net Assets - GA'!W85-'St of Activities - GA Exp'!AE85</f>
        <v>0</v>
      </c>
      <c r="AG85" s="6"/>
    </row>
    <row r="86" spans="1:33" ht="12.75">
      <c r="A86" s="4" t="s">
        <v>73</v>
      </c>
      <c r="B86" s="5"/>
      <c r="C86" s="5">
        <v>19519084</v>
      </c>
      <c r="D86" s="5"/>
      <c r="E86" s="5">
        <v>15212867</v>
      </c>
      <c r="F86" s="5"/>
      <c r="G86" s="5">
        <v>12848370</v>
      </c>
      <c r="H86" s="5"/>
      <c r="I86" s="5">
        <v>33964161</v>
      </c>
      <c r="J86" s="5"/>
      <c r="K86" s="5">
        <v>79741796</v>
      </c>
      <c r="L86" s="5"/>
      <c r="M86" s="5">
        <v>68499511</v>
      </c>
      <c r="N86" s="5"/>
      <c r="O86" s="5">
        <v>0</v>
      </c>
      <c r="P86" s="5"/>
      <c r="Q86" s="5">
        <v>29200</v>
      </c>
      <c r="R86" s="5"/>
      <c r="S86" s="5">
        <v>0</v>
      </c>
      <c r="T86" s="5"/>
      <c r="U86" s="5">
        <v>11173112</v>
      </c>
      <c r="V86" s="5"/>
      <c r="W86" s="5">
        <v>283533</v>
      </c>
      <c r="X86" s="5"/>
      <c r="Y86" s="5">
        <f t="shared" si="6"/>
        <v>241271634</v>
      </c>
      <c r="Z86" s="5"/>
      <c r="AA86" s="5">
        <v>19173054</v>
      </c>
      <c r="AB86" s="5"/>
      <c r="AC86" s="5">
        <v>253434849</v>
      </c>
      <c r="AD86" s="5"/>
      <c r="AE86" s="5">
        <f t="shared" si="7"/>
        <v>272607903</v>
      </c>
      <c r="AF86" s="6">
        <f>+'St of Net Assets - GA'!W86-'St of Activities - GA Exp'!AE86</f>
        <v>0</v>
      </c>
      <c r="AG86" s="11"/>
    </row>
    <row r="87" spans="1:33" ht="12.75">
      <c r="A87" s="4" t="s">
        <v>74</v>
      </c>
      <c r="B87" s="5"/>
      <c r="C87" s="5">
        <v>38108106</v>
      </c>
      <c r="D87" s="5"/>
      <c r="E87" s="5">
        <v>30736949</v>
      </c>
      <c r="F87" s="5"/>
      <c r="G87" s="5">
        <v>74497550</v>
      </c>
      <c r="H87" s="5"/>
      <c r="I87" s="5">
        <v>19065648</v>
      </c>
      <c r="J87" s="5"/>
      <c r="K87" s="5">
        <v>121728662</v>
      </c>
      <c r="L87" s="5"/>
      <c r="M87" s="5">
        <v>116076370</v>
      </c>
      <c r="N87" s="5"/>
      <c r="O87" s="5">
        <v>2831880</v>
      </c>
      <c r="P87" s="5"/>
      <c r="Q87" s="5">
        <v>0</v>
      </c>
      <c r="R87" s="5"/>
      <c r="S87" s="5">
        <v>0</v>
      </c>
      <c r="T87" s="5"/>
      <c r="U87" s="5">
        <v>0</v>
      </c>
      <c r="V87" s="5"/>
      <c r="W87" s="5">
        <v>3702576</v>
      </c>
      <c r="X87" s="5"/>
      <c r="Y87" s="5">
        <f t="shared" si="6"/>
        <v>406747741</v>
      </c>
      <c r="Z87" s="5"/>
      <c r="AA87" s="5">
        <v>26787353</v>
      </c>
      <c r="AB87" s="5"/>
      <c r="AC87" s="26">
        <v>373059403</v>
      </c>
      <c r="AD87" s="5"/>
      <c r="AE87" s="5">
        <f t="shared" si="7"/>
        <v>399846756</v>
      </c>
      <c r="AF87" s="6">
        <f>+'St of Net Assets - GA'!W87-'St of Activities - GA Exp'!AE87</f>
        <v>0</v>
      </c>
      <c r="AG87" s="11"/>
    </row>
    <row r="88" spans="1:33" ht="12.75">
      <c r="A88" s="4" t="s">
        <v>75</v>
      </c>
      <c r="B88" s="5"/>
      <c r="C88" s="5">
        <v>21634763</v>
      </c>
      <c r="D88" s="5"/>
      <c r="E88" s="5">
        <v>11008800</v>
      </c>
      <c r="F88" s="5"/>
      <c r="G88" s="5">
        <v>12887306</v>
      </c>
      <c r="H88" s="5"/>
      <c r="I88" s="5">
        <v>18878258</v>
      </c>
      <c r="J88" s="5"/>
      <c r="K88" s="5">
        <v>37810134</v>
      </c>
      <c r="L88" s="5"/>
      <c r="M88" s="5">
        <v>46538819</v>
      </c>
      <c r="N88" s="5"/>
      <c r="O88" s="5">
        <v>721026</v>
      </c>
      <c r="P88" s="5"/>
      <c r="Q88" s="5">
        <v>0</v>
      </c>
      <c r="R88" s="5"/>
      <c r="S88" s="5">
        <v>0</v>
      </c>
      <c r="T88" s="5"/>
      <c r="U88" s="5">
        <v>3458949</v>
      </c>
      <c r="V88" s="5"/>
      <c r="W88" s="5">
        <v>1617785</v>
      </c>
      <c r="X88" s="5"/>
      <c r="Y88" s="5">
        <f t="shared" si="6"/>
        <v>154555840</v>
      </c>
      <c r="Z88" s="5"/>
      <c r="AA88" s="5">
        <v>10525169</v>
      </c>
      <c r="AB88" s="5"/>
      <c r="AC88" s="5">
        <v>122028488</v>
      </c>
      <c r="AD88" s="5"/>
      <c r="AE88" s="5">
        <f t="shared" si="7"/>
        <v>132553657</v>
      </c>
      <c r="AF88" s="6">
        <f>+'St of Net Assets - GA'!W88-'St of Activities - GA Exp'!AE88</f>
        <v>0</v>
      </c>
      <c r="AG88" s="11"/>
    </row>
    <row r="89" spans="1:33" ht="12.75">
      <c r="A89" s="4" t="s">
        <v>76</v>
      </c>
      <c r="B89" s="5"/>
      <c r="C89" s="5">
        <v>8366047</v>
      </c>
      <c r="D89" s="5"/>
      <c r="E89" s="5">
        <v>3586963</v>
      </c>
      <c r="F89" s="5"/>
      <c r="G89" s="5">
        <v>2254897</v>
      </c>
      <c r="H89" s="5"/>
      <c r="I89" s="5">
        <v>7432184</v>
      </c>
      <c r="J89" s="5"/>
      <c r="K89" s="5">
        <v>7209384</v>
      </c>
      <c r="L89" s="5"/>
      <c r="M89" s="5">
        <v>19072385</v>
      </c>
      <c r="N89" s="5"/>
      <c r="O89" s="5">
        <v>0</v>
      </c>
      <c r="P89" s="5"/>
      <c r="Q89" s="5">
        <v>498085</v>
      </c>
      <c r="R89" s="5"/>
      <c r="S89" s="5">
        <v>1431812</v>
      </c>
      <c r="T89" s="5"/>
      <c r="U89" s="5">
        <v>2250226</v>
      </c>
      <c r="V89" s="5"/>
      <c r="W89" s="5">
        <v>48860</v>
      </c>
      <c r="X89" s="5"/>
      <c r="Y89" s="5">
        <f t="shared" si="6"/>
        <v>52150843</v>
      </c>
      <c r="Z89" s="5"/>
      <c r="AA89" s="5">
        <v>5583863</v>
      </c>
      <c r="AB89" s="5"/>
      <c r="AC89" s="5">
        <v>77664628</v>
      </c>
      <c r="AD89" s="5"/>
      <c r="AE89" s="5">
        <f t="shared" si="7"/>
        <v>83248491</v>
      </c>
      <c r="AF89" s="6">
        <f>+'St of Net Assets - GA'!W89-'St of Activities - GA Exp'!AE89</f>
        <v>0</v>
      </c>
      <c r="AG89" s="11"/>
    </row>
    <row r="90" spans="1:33" ht="12.75">
      <c r="A90" s="4" t="s">
        <v>77</v>
      </c>
      <c r="B90" s="5"/>
      <c r="C90" s="5">
        <v>11776677</v>
      </c>
      <c r="D90" s="5"/>
      <c r="E90" s="5">
        <v>2181237</v>
      </c>
      <c r="F90" s="5"/>
      <c r="G90" s="5">
        <v>6270069</v>
      </c>
      <c r="H90" s="5"/>
      <c r="I90" s="5">
        <v>3089442</v>
      </c>
      <c r="J90" s="5"/>
      <c r="K90" s="5">
        <v>3888031</v>
      </c>
      <c r="L90" s="5"/>
      <c r="M90" s="5">
        <v>14604599</v>
      </c>
      <c r="N90" s="5"/>
      <c r="O90" s="5">
        <v>306202</v>
      </c>
      <c r="P90" s="5"/>
      <c r="Q90" s="5">
        <v>0</v>
      </c>
      <c r="R90" s="5"/>
      <c r="S90" s="5">
        <v>0</v>
      </c>
      <c r="T90" s="5"/>
      <c r="U90" s="5">
        <v>0</v>
      </c>
      <c r="V90" s="5"/>
      <c r="W90" s="5">
        <v>380135</v>
      </c>
      <c r="X90" s="5"/>
      <c r="Y90" s="5">
        <f t="shared" si="6"/>
        <v>42496392</v>
      </c>
      <c r="Z90" s="5"/>
      <c r="AA90" s="5">
        <v>6352788</v>
      </c>
      <c r="AB90" s="5"/>
      <c r="AC90" s="5">
        <v>73106221</v>
      </c>
      <c r="AD90" s="5"/>
      <c r="AE90" s="5">
        <f t="shared" si="7"/>
        <v>79459009</v>
      </c>
      <c r="AF90" s="6">
        <f>+'St of Net Assets - GA'!W90-'St of Activities - GA Exp'!AE90</f>
        <v>0</v>
      </c>
      <c r="AG90" s="11"/>
    </row>
    <row r="91" spans="1:33" ht="12.75">
      <c r="A91" s="4" t="s">
        <v>78</v>
      </c>
      <c r="B91" s="5"/>
      <c r="C91" s="5">
        <v>4497454</v>
      </c>
      <c r="D91" s="5"/>
      <c r="E91" s="5">
        <v>1410827</v>
      </c>
      <c r="F91" s="5"/>
      <c r="G91" s="5">
        <v>3149680</v>
      </c>
      <c r="H91" s="5"/>
      <c r="I91" s="5">
        <v>2883784</v>
      </c>
      <c r="J91" s="5"/>
      <c r="K91" s="5">
        <v>94346</v>
      </c>
      <c r="L91" s="5"/>
      <c r="M91" s="5">
        <v>8747616</v>
      </c>
      <c r="N91" s="5"/>
      <c r="O91" s="5">
        <v>821927</v>
      </c>
      <c r="P91" s="5"/>
      <c r="Q91" s="5">
        <v>0</v>
      </c>
      <c r="R91" s="5"/>
      <c r="S91" s="5">
        <v>0</v>
      </c>
      <c r="T91" s="5"/>
      <c r="U91" s="5">
        <v>312686</v>
      </c>
      <c r="V91" s="5"/>
      <c r="W91" s="5">
        <v>60499</v>
      </c>
      <c r="X91" s="5"/>
      <c r="Y91" s="5">
        <f t="shared" si="6"/>
        <v>21978819</v>
      </c>
      <c r="Z91" s="5"/>
      <c r="AA91" s="5">
        <v>1252226</v>
      </c>
      <c r="AB91" s="5"/>
      <c r="AC91" s="5">
        <v>21693987</v>
      </c>
      <c r="AD91" s="5"/>
      <c r="AE91" s="5">
        <f t="shared" si="7"/>
        <v>22946213</v>
      </c>
      <c r="AF91" s="6">
        <f>+'St of Net Assets - GA'!W91-'St of Activities - GA Exp'!AE91</f>
        <v>0</v>
      </c>
      <c r="AG91" s="11"/>
    </row>
    <row r="92" spans="1:33" ht="12.75">
      <c r="A92" s="4" t="s">
        <v>79</v>
      </c>
      <c r="B92" s="5"/>
      <c r="C92" s="5">
        <v>1330798</v>
      </c>
      <c r="D92" s="5"/>
      <c r="E92" s="5">
        <v>532975</v>
      </c>
      <c r="F92" s="5"/>
      <c r="G92" s="5">
        <v>1691088</v>
      </c>
      <c r="H92" s="5"/>
      <c r="I92" s="5">
        <v>5402219</v>
      </c>
      <c r="J92" s="5"/>
      <c r="K92" s="5">
        <v>1478738</v>
      </c>
      <c r="L92" s="5"/>
      <c r="M92" s="5">
        <v>4178398</v>
      </c>
      <c r="N92" s="5"/>
      <c r="O92" s="5">
        <v>0</v>
      </c>
      <c r="P92" s="5"/>
      <c r="Q92" s="5">
        <v>10600</v>
      </c>
      <c r="R92" s="5"/>
      <c r="S92" s="5">
        <v>567604</v>
      </c>
      <c r="T92" s="5"/>
      <c r="U92" s="5">
        <v>0</v>
      </c>
      <c r="V92" s="5"/>
      <c r="W92" s="5">
        <v>120982</v>
      </c>
      <c r="X92" s="5"/>
      <c r="Y92" s="5">
        <f t="shared" si="6"/>
        <v>15313402</v>
      </c>
      <c r="Z92" s="5"/>
      <c r="AA92" s="5">
        <v>508042</v>
      </c>
      <c r="AB92" s="5"/>
      <c r="AC92" s="5">
        <v>11558709</v>
      </c>
      <c r="AD92" s="5"/>
      <c r="AE92" s="5">
        <f t="shared" si="7"/>
        <v>12066751</v>
      </c>
      <c r="AF92" s="6">
        <f>+'St of Net Assets - GA'!W92-'St of Activities - GA Exp'!AE92</f>
        <v>0</v>
      </c>
      <c r="AG92" s="11"/>
    </row>
    <row r="93" spans="1:33" ht="12.75">
      <c r="A93" s="4" t="s">
        <v>80</v>
      </c>
      <c r="B93" s="5"/>
      <c r="C93" s="5">
        <v>23168083</v>
      </c>
      <c r="D93" s="5"/>
      <c r="E93" s="5">
        <v>10754998</v>
      </c>
      <c r="F93" s="5"/>
      <c r="G93" s="5">
        <v>22988810</v>
      </c>
      <c r="H93" s="5"/>
      <c r="I93" s="5">
        <v>6965278</v>
      </c>
      <c r="J93" s="5"/>
      <c r="K93" s="5">
        <v>647914</v>
      </c>
      <c r="L93" s="5"/>
      <c r="M93" s="5">
        <v>38003987</v>
      </c>
      <c r="N93" s="5"/>
      <c r="O93" s="5">
        <v>1275089</v>
      </c>
      <c r="P93" s="5"/>
      <c r="Q93" s="5">
        <v>0</v>
      </c>
      <c r="R93" s="5"/>
      <c r="S93" s="5">
        <v>0</v>
      </c>
      <c r="T93" s="5"/>
      <c r="U93" s="5">
        <v>0</v>
      </c>
      <c r="V93" s="5"/>
      <c r="W93" s="5">
        <v>1212156</v>
      </c>
      <c r="X93" s="5"/>
      <c r="Y93" s="5">
        <f t="shared" si="6"/>
        <v>105016315</v>
      </c>
      <c r="Z93" s="5"/>
      <c r="AA93" s="5">
        <v>15197424</v>
      </c>
      <c r="AB93" s="5"/>
      <c r="AC93" s="5">
        <v>166261176</v>
      </c>
      <c r="AD93" s="5"/>
      <c r="AE93" s="5">
        <f t="shared" si="7"/>
        <v>181458600</v>
      </c>
      <c r="AF93" s="6">
        <f>+'St of Net Assets - GA'!W93-'St of Activities - GA Exp'!AE93</f>
        <v>0</v>
      </c>
      <c r="AG93" s="11"/>
    </row>
    <row r="94" spans="1:33" ht="12.75">
      <c r="A94" s="4" t="s">
        <v>81</v>
      </c>
      <c r="B94" s="5"/>
      <c r="C94" s="5">
        <v>5612154</v>
      </c>
      <c r="D94" s="5"/>
      <c r="E94" s="5">
        <v>1746459</v>
      </c>
      <c r="F94" s="5"/>
      <c r="G94" s="5">
        <v>7377983</v>
      </c>
      <c r="H94" s="5"/>
      <c r="I94" s="5">
        <v>7147870</v>
      </c>
      <c r="J94" s="5"/>
      <c r="K94" s="5">
        <f>5469186+6964449+2309666+201615</f>
        <v>14944916</v>
      </c>
      <c r="L94" s="5"/>
      <c r="M94" s="5">
        <f>920929+2721116+6992531+1685154</f>
        <v>12319730</v>
      </c>
      <c r="N94" s="5"/>
      <c r="O94" s="5">
        <v>549224</v>
      </c>
      <c r="P94" s="5"/>
      <c r="Q94" s="5">
        <v>0</v>
      </c>
      <c r="R94" s="5"/>
      <c r="S94" s="5">
        <v>0</v>
      </c>
      <c r="T94" s="5"/>
      <c r="U94" s="5">
        <v>1643489</v>
      </c>
      <c r="V94" s="5"/>
      <c r="W94" s="5">
        <v>278491</v>
      </c>
      <c r="X94" s="5"/>
      <c r="Y94" s="5">
        <f t="shared" si="6"/>
        <v>51620316</v>
      </c>
      <c r="Z94" s="5"/>
      <c r="AA94" s="5">
        <v>5346120</v>
      </c>
      <c r="AB94" s="5"/>
      <c r="AC94" s="5">
        <v>156838976</v>
      </c>
      <c r="AD94" s="5"/>
      <c r="AE94" s="5">
        <f t="shared" si="7"/>
        <v>162185096</v>
      </c>
      <c r="AF94" s="6">
        <f>+'St of Net Assets - GA'!W94-'St of Activities - GA Exp'!AE94</f>
        <v>0</v>
      </c>
      <c r="AG94" s="11"/>
    </row>
    <row r="95" spans="1:33" ht="12.75">
      <c r="A95" s="4" t="s">
        <v>82</v>
      </c>
      <c r="B95" s="5"/>
      <c r="C95" s="5">
        <v>10018008</v>
      </c>
      <c r="D95" s="5"/>
      <c r="E95" s="5">
        <v>4955774</v>
      </c>
      <c r="F95" s="5"/>
      <c r="G95" s="5">
        <v>10344660</v>
      </c>
      <c r="H95" s="5"/>
      <c r="I95" s="5">
        <v>8766467</v>
      </c>
      <c r="J95" s="5"/>
      <c r="K95" s="5">
        <v>547959</v>
      </c>
      <c r="L95" s="5"/>
      <c r="M95" s="5">
        <v>35345886</v>
      </c>
      <c r="N95" s="5"/>
      <c r="O95" s="5">
        <f>590544+385539</f>
        <v>976083</v>
      </c>
      <c r="P95" s="5"/>
      <c r="Q95" s="5">
        <v>88662</v>
      </c>
      <c r="R95" s="5"/>
      <c r="S95" s="5">
        <v>884280</v>
      </c>
      <c r="T95" s="5"/>
      <c r="U95" s="5">
        <v>0</v>
      </c>
      <c r="V95" s="5"/>
      <c r="W95" s="5">
        <v>505411</v>
      </c>
      <c r="X95" s="5"/>
      <c r="Y95" s="5">
        <f t="shared" si="6"/>
        <v>72433190</v>
      </c>
      <c r="Z95" s="5"/>
      <c r="AA95" s="5">
        <v>2737694</v>
      </c>
      <c r="AB95" s="5"/>
      <c r="AC95" s="5">
        <v>116032495</v>
      </c>
      <c r="AD95" s="5"/>
      <c r="AE95" s="5">
        <f>+AC95+AA95</f>
        <v>118770189</v>
      </c>
      <c r="AF95" s="6">
        <f>+'St of Net Assets - GA'!W95-'St of Activities - GA Exp'!AE95</f>
        <v>0</v>
      </c>
      <c r="AG95" s="11"/>
    </row>
    <row r="96" spans="1:33" ht="12.75" hidden="1">
      <c r="A96" s="4" t="s">
        <v>174</v>
      </c>
      <c r="B96" s="5"/>
      <c r="C96" s="5">
        <v>0</v>
      </c>
      <c r="D96" s="5"/>
      <c r="E96" s="5">
        <v>0</v>
      </c>
      <c r="F96" s="5"/>
      <c r="G96" s="5">
        <v>0</v>
      </c>
      <c r="H96" s="5"/>
      <c r="I96" s="5">
        <v>0</v>
      </c>
      <c r="J96" s="5"/>
      <c r="K96" s="5">
        <v>0</v>
      </c>
      <c r="L96" s="5"/>
      <c r="M96" s="5">
        <v>0</v>
      </c>
      <c r="N96" s="5"/>
      <c r="O96" s="5">
        <v>0</v>
      </c>
      <c r="P96" s="5"/>
      <c r="Q96" s="5">
        <v>0</v>
      </c>
      <c r="R96" s="5"/>
      <c r="S96" s="5">
        <v>0</v>
      </c>
      <c r="T96" s="5"/>
      <c r="U96" s="5">
        <v>0</v>
      </c>
      <c r="V96" s="5"/>
      <c r="W96" s="5">
        <f>431160</f>
        <v>431160</v>
      </c>
      <c r="X96" s="5"/>
      <c r="Y96" s="5">
        <f t="shared" si="6"/>
        <v>431160</v>
      </c>
      <c r="Z96" s="5"/>
      <c r="AA96" s="5">
        <v>0</v>
      </c>
      <c r="AB96" s="5"/>
      <c r="AC96" s="5">
        <v>0</v>
      </c>
      <c r="AD96" s="5"/>
      <c r="AE96" s="5">
        <f t="shared" si="7"/>
        <v>0</v>
      </c>
      <c r="AF96" s="6">
        <f>+'St of Net Assets - GA'!W96-'St of Activities - GA Exp'!AE96</f>
        <v>0</v>
      </c>
      <c r="AG96" s="11"/>
    </row>
    <row r="97" spans="1:33" ht="12.75">
      <c r="A97" s="4" t="s">
        <v>83</v>
      </c>
      <c r="B97" s="5"/>
      <c r="C97" s="5">
        <v>17170831</v>
      </c>
      <c r="D97" s="5"/>
      <c r="E97" s="5">
        <v>7859875</v>
      </c>
      <c r="F97" s="5"/>
      <c r="G97" s="5">
        <v>7986357</v>
      </c>
      <c r="H97" s="5"/>
      <c r="I97" s="5">
        <v>12182962</v>
      </c>
      <c r="J97" s="5"/>
      <c r="K97" s="5">
        <f>13397107+517840</f>
        <v>13914947</v>
      </c>
      <c r="L97" s="5"/>
      <c r="M97" s="5">
        <f>10602912+2165525+24783050+2348469</f>
        <v>39899956</v>
      </c>
      <c r="N97" s="5"/>
      <c r="O97" s="5">
        <v>1270983</v>
      </c>
      <c r="P97" s="5"/>
      <c r="Q97" s="5">
        <v>291413</v>
      </c>
      <c r="R97" s="5"/>
      <c r="S97" s="5">
        <v>1176556</v>
      </c>
      <c r="T97" s="5"/>
      <c r="U97" s="5">
        <v>309530</v>
      </c>
      <c r="V97" s="5"/>
      <c r="W97" s="5">
        <v>596103</v>
      </c>
      <c r="X97" s="5"/>
      <c r="Y97" s="5">
        <f t="shared" si="6"/>
        <v>102659513</v>
      </c>
      <c r="Z97" s="5"/>
      <c r="AA97" s="5">
        <v>6237041</v>
      </c>
      <c r="AB97" s="5"/>
      <c r="AC97" s="5">
        <v>142801865</v>
      </c>
      <c r="AD97" s="5"/>
      <c r="AE97" s="5">
        <f t="shared" si="7"/>
        <v>149038906</v>
      </c>
      <c r="AF97" s="6">
        <f>+'St of Net Assets - GA'!W97-'St of Activities - GA Exp'!AE97</f>
        <v>0</v>
      </c>
      <c r="AG97" s="11"/>
    </row>
    <row r="98" spans="1:33" ht="12.75" hidden="1">
      <c r="A98" s="4" t="s">
        <v>175</v>
      </c>
      <c r="B98" s="5"/>
      <c r="C98" s="5">
        <v>0</v>
      </c>
      <c r="D98" s="5"/>
      <c r="E98" s="5">
        <v>0</v>
      </c>
      <c r="F98" s="5"/>
      <c r="G98" s="5">
        <v>0</v>
      </c>
      <c r="H98" s="5"/>
      <c r="I98" s="5">
        <v>0</v>
      </c>
      <c r="J98" s="5"/>
      <c r="K98" s="5">
        <v>0</v>
      </c>
      <c r="L98" s="5"/>
      <c r="M98" s="5">
        <v>0</v>
      </c>
      <c r="N98" s="5"/>
      <c r="O98" s="5">
        <v>0</v>
      </c>
      <c r="P98" s="5"/>
      <c r="Q98" s="5">
        <v>0</v>
      </c>
      <c r="R98" s="5"/>
      <c r="S98" s="5">
        <v>0</v>
      </c>
      <c r="T98" s="5"/>
      <c r="U98" s="5">
        <v>0</v>
      </c>
      <c r="V98" s="5"/>
      <c r="W98" s="5">
        <v>0</v>
      </c>
      <c r="X98" s="5"/>
      <c r="Y98" s="5">
        <f>SUM(C98:W98)</f>
        <v>0</v>
      </c>
      <c r="Z98" s="5"/>
      <c r="AA98" s="5">
        <v>0</v>
      </c>
      <c r="AB98" s="5"/>
      <c r="AC98" s="5">
        <v>0</v>
      </c>
      <c r="AD98" s="5"/>
      <c r="AE98" s="5">
        <f>+AC98+AA98</f>
        <v>0</v>
      </c>
      <c r="AF98" s="6">
        <f>+'St of Net Assets - GA'!W98-'St of Activities - GA Exp'!AE98</f>
        <v>0</v>
      </c>
      <c r="AG98" s="11"/>
    </row>
    <row r="99" spans="1:33" ht="12.7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6"/>
      <c r="AG99" s="11"/>
    </row>
    <row r="100" spans="1:33" ht="12.7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6"/>
      <c r="AG100" s="11"/>
    </row>
    <row r="101" spans="1:33" ht="12.75">
      <c r="A101" s="1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6"/>
      <c r="AG101" s="11"/>
    </row>
    <row r="102" spans="1:33" ht="12.75">
      <c r="A102" s="1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6"/>
      <c r="AG102" s="11"/>
    </row>
    <row r="103" spans="2:33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6"/>
      <c r="AG103" s="11"/>
    </row>
    <row r="104" spans="2:32" ht="12.7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6"/>
    </row>
    <row r="105" spans="2:31" ht="12.7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</row>
    <row r="106" spans="2:31" ht="12.7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</row>
    <row r="107" spans="2:31" ht="12.7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</row>
    <row r="108" spans="2:31" ht="12.7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</row>
    <row r="109" spans="2:31" ht="12.7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</row>
  </sheetData>
  <printOptions/>
  <pageMargins left="0.75" right="0.75" top="0.5" bottom="0.5" header="0" footer="0.25"/>
  <pageSetup firstPageNumber="12" useFirstPageNumber="1" horizontalDpi="600" verticalDpi="600" orientation="portrait" pageOrder="overThenDown" scale="95" r:id="rId1"/>
  <headerFooter alignWithMargins="0">
    <oddFooter>&amp;C&amp;"Times New Roman,Regular"&amp;11&amp;P</oddFooter>
  </headerFooter>
  <rowBreaks count="1" manualBreakCount="1">
    <brk id="79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100"/>
  <sheetViews>
    <sheetView view="pageBreakPreview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87" sqref="A87"/>
    </sheetView>
  </sheetViews>
  <sheetFormatPr defaultColWidth="9.140625" defaultRowHeight="12.75"/>
  <cols>
    <col min="1" max="1" width="20.7109375" style="78" customWidth="1"/>
    <col min="2" max="2" width="1.7109375" style="78" customWidth="1"/>
    <col min="3" max="3" width="13.7109375" style="6" customWidth="1"/>
    <col min="4" max="4" width="1.7109375" style="6" customWidth="1"/>
    <col min="5" max="5" width="13.7109375" style="6" customWidth="1"/>
    <col min="6" max="6" width="1.7109375" style="6" customWidth="1"/>
    <col min="7" max="7" width="13.7109375" style="6" customWidth="1"/>
    <col min="8" max="8" width="1.7109375" style="6" customWidth="1"/>
    <col min="9" max="9" width="13.7109375" style="6" customWidth="1"/>
    <col min="10" max="10" width="1.7109375" style="6" customWidth="1"/>
    <col min="11" max="11" width="13.7109375" style="6" customWidth="1"/>
    <col min="12" max="12" width="1.7109375" style="6" customWidth="1"/>
    <col min="13" max="13" width="13.7109375" style="6" customWidth="1"/>
    <col min="14" max="14" width="1.7109375" style="6" customWidth="1"/>
    <col min="15" max="15" width="13.7109375" style="6" customWidth="1"/>
    <col min="16" max="16" width="9.28125" style="78" bestFit="1" customWidth="1"/>
    <col min="17" max="17" width="12.7109375" style="78" customWidth="1"/>
    <col min="18" max="16384" width="9.140625" style="78" customWidth="1"/>
  </cols>
  <sheetData>
    <row r="1" spans="1:16" ht="12.75">
      <c r="A1" s="36" t="s">
        <v>203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</row>
    <row r="2" spans="1:16" ht="12.75">
      <c r="A2" s="36" t="s">
        <v>247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6"/>
    </row>
    <row r="3" spans="1:16" ht="12.75">
      <c r="A3" s="28" t="s">
        <v>187</v>
      </c>
      <c r="B3" s="8"/>
      <c r="C3" s="9"/>
      <c r="D3" s="9"/>
      <c r="E3" s="9"/>
      <c r="F3" s="9"/>
      <c r="G3" s="9"/>
      <c r="H3" s="9"/>
      <c r="I3" s="9"/>
      <c r="J3" s="9"/>
      <c r="P3" s="18"/>
    </row>
    <row r="4" spans="1:16" ht="12.75">
      <c r="A4" s="15" t="s">
        <v>261</v>
      </c>
      <c r="B4" s="8"/>
      <c r="C4" s="9"/>
      <c r="D4" s="9"/>
      <c r="E4" s="9"/>
      <c r="F4" s="9"/>
      <c r="G4" s="9"/>
      <c r="H4" s="9"/>
      <c r="I4" s="9"/>
      <c r="J4" s="9"/>
      <c r="P4" s="18"/>
    </row>
    <row r="5" spans="1:16" ht="12.75">
      <c r="A5" s="28"/>
      <c r="B5" s="8"/>
      <c r="C5" s="9"/>
      <c r="D5" s="9"/>
      <c r="E5" s="9"/>
      <c r="F5" s="9"/>
      <c r="G5" s="9"/>
      <c r="H5" s="9"/>
      <c r="I5" s="9"/>
      <c r="J5" s="9"/>
      <c r="K5" s="9" t="s">
        <v>117</v>
      </c>
      <c r="L5" s="9"/>
      <c r="M5" s="9" t="s">
        <v>244</v>
      </c>
      <c r="N5" s="9"/>
      <c r="O5" s="9" t="s">
        <v>4</v>
      </c>
      <c r="P5" s="18"/>
    </row>
    <row r="6" spans="1:16" ht="12.75">
      <c r="A6" s="8"/>
      <c r="B6" s="8"/>
      <c r="C6" s="9" t="s">
        <v>118</v>
      </c>
      <c r="D6" s="9"/>
      <c r="E6" s="9" t="s">
        <v>4</v>
      </c>
      <c r="F6" s="9"/>
      <c r="G6" s="9" t="s">
        <v>119</v>
      </c>
      <c r="H6" s="9"/>
      <c r="I6" s="9" t="s">
        <v>4</v>
      </c>
      <c r="J6" s="9"/>
      <c r="K6" s="9" t="s">
        <v>120</v>
      </c>
      <c r="L6" s="9"/>
      <c r="M6" s="9" t="s">
        <v>120</v>
      </c>
      <c r="N6" s="9"/>
      <c r="O6" s="9" t="s">
        <v>120</v>
      </c>
      <c r="P6" s="18"/>
    </row>
    <row r="7" spans="1:17" s="80" customFormat="1" ht="12.75">
      <c r="A7" s="39" t="s">
        <v>5</v>
      </c>
      <c r="B7" s="8"/>
      <c r="C7" s="40" t="s">
        <v>121</v>
      </c>
      <c r="D7" s="9"/>
      <c r="E7" s="40" t="s">
        <v>116</v>
      </c>
      <c r="F7" s="9"/>
      <c r="G7" s="40" t="s">
        <v>11</v>
      </c>
      <c r="H7" s="9"/>
      <c r="I7" s="40" t="s">
        <v>122</v>
      </c>
      <c r="J7" s="9"/>
      <c r="K7" s="40" t="s">
        <v>123</v>
      </c>
      <c r="L7" s="9"/>
      <c r="M7" s="40" t="s">
        <v>123</v>
      </c>
      <c r="N7" s="9"/>
      <c r="O7" s="40" t="s">
        <v>123</v>
      </c>
      <c r="P7" s="18"/>
      <c r="Q7" s="11" t="s">
        <v>212</v>
      </c>
    </row>
    <row r="8" spans="1:16" ht="12.7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8"/>
    </row>
    <row r="9" spans="1:17" ht="12.75" hidden="1">
      <c r="A9" s="76" t="s">
        <v>251</v>
      </c>
      <c r="B9" s="8"/>
      <c r="C9" s="41">
        <v>0</v>
      </c>
      <c r="D9" s="41"/>
      <c r="E9" s="41">
        <v>0</v>
      </c>
      <c r="F9" s="41"/>
      <c r="G9" s="41">
        <v>0</v>
      </c>
      <c r="H9" s="41"/>
      <c r="I9" s="41">
        <v>0</v>
      </c>
      <c r="J9" s="41"/>
      <c r="K9" s="41">
        <v>0</v>
      </c>
      <c r="L9" s="41"/>
      <c r="M9" s="41">
        <v>0</v>
      </c>
      <c r="N9" s="41"/>
      <c r="O9" s="41">
        <f>+M9+K9</f>
        <v>0</v>
      </c>
      <c r="P9" s="21"/>
      <c r="Q9" s="79">
        <f>+E9-I9-O9</f>
        <v>0</v>
      </c>
    </row>
    <row r="10" spans="1:17" ht="12.75">
      <c r="A10" s="4" t="s">
        <v>13</v>
      </c>
      <c r="B10" s="4"/>
      <c r="C10" s="41">
        <f>3882763+4119</f>
        <v>3886882</v>
      </c>
      <c r="D10" s="41"/>
      <c r="E10" s="41">
        <v>13169553</v>
      </c>
      <c r="F10" s="41"/>
      <c r="G10" s="41">
        <v>6334593</v>
      </c>
      <c r="H10" s="41"/>
      <c r="I10" s="41">
        <v>8818456</v>
      </c>
      <c r="J10" s="41"/>
      <c r="K10" s="41">
        <f>270000+299085+340020+860980</f>
        <v>1770085</v>
      </c>
      <c r="L10" s="41"/>
      <c r="M10" s="41">
        <v>2581012</v>
      </c>
      <c r="N10" s="41"/>
      <c r="O10" s="41">
        <f>+M10+K10</f>
        <v>4351097</v>
      </c>
      <c r="P10" s="21"/>
      <c r="Q10" s="79">
        <f>+E10-I10-O10</f>
        <v>0</v>
      </c>
    </row>
    <row r="11" spans="1:17" ht="12.75">
      <c r="A11" s="4" t="s">
        <v>14</v>
      </c>
      <c r="B11" s="4"/>
      <c r="C11" s="21">
        <f>3967340+213+47156</f>
        <v>4014709</v>
      </c>
      <c r="D11" s="21"/>
      <c r="E11" s="21">
        <v>8261959</v>
      </c>
      <c r="F11" s="21"/>
      <c r="G11" s="21">
        <v>3573825</v>
      </c>
      <c r="H11" s="21"/>
      <c r="I11" s="21">
        <v>4072462</v>
      </c>
      <c r="J11" s="21"/>
      <c r="K11" s="21">
        <f>47156+67616</f>
        <v>114772</v>
      </c>
      <c r="L11" s="21"/>
      <c r="M11" s="21">
        <v>4074725</v>
      </c>
      <c r="N11" s="21"/>
      <c r="O11" s="21">
        <f aca="true" t="shared" si="0" ref="O11:O27">+M11+K11</f>
        <v>4189497</v>
      </c>
      <c r="P11" s="21"/>
      <c r="Q11" s="79">
        <f aca="true" t="shared" si="1" ref="Q11:Q27">+E11-I11-O11</f>
        <v>0</v>
      </c>
    </row>
    <row r="12" spans="1:17" ht="12.75">
      <c r="A12" s="4" t="s">
        <v>15</v>
      </c>
      <c r="B12" s="4"/>
      <c r="C12" s="21">
        <f>4161457+8082</f>
        <v>4169539</v>
      </c>
      <c r="D12" s="21"/>
      <c r="E12" s="21">
        <v>10024252</v>
      </c>
      <c r="F12" s="21"/>
      <c r="G12" s="21">
        <v>4743923</v>
      </c>
      <c r="H12" s="21"/>
      <c r="I12" s="21">
        <v>5552828</v>
      </c>
      <c r="J12" s="21"/>
      <c r="K12" s="21">
        <f>55790+90000</f>
        <v>145790</v>
      </c>
      <c r="L12" s="21"/>
      <c r="M12" s="21">
        <v>4325634</v>
      </c>
      <c r="N12" s="21"/>
      <c r="O12" s="21">
        <f t="shared" si="0"/>
        <v>4471424</v>
      </c>
      <c r="P12" s="21"/>
      <c r="Q12" s="79">
        <f t="shared" si="1"/>
        <v>0</v>
      </c>
    </row>
    <row r="13" spans="1:17" ht="12.75">
      <c r="A13" s="4" t="s">
        <v>16</v>
      </c>
      <c r="B13" s="4"/>
      <c r="C13" s="21">
        <f>1675369+21423</f>
        <v>1696792</v>
      </c>
      <c r="D13" s="21"/>
      <c r="E13" s="21">
        <v>5296061</v>
      </c>
      <c r="F13" s="21"/>
      <c r="G13" s="21">
        <v>2065180</v>
      </c>
      <c r="H13" s="21"/>
      <c r="I13" s="21">
        <v>2607429</v>
      </c>
      <c r="J13" s="21"/>
      <c r="K13" s="21">
        <v>10270</v>
      </c>
      <c r="L13" s="21"/>
      <c r="M13" s="21">
        <v>2678362</v>
      </c>
      <c r="N13" s="21"/>
      <c r="O13" s="21">
        <f t="shared" si="0"/>
        <v>2688632</v>
      </c>
      <c r="P13" s="21"/>
      <c r="Q13" s="79">
        <f t="shared" si="1"/>
        <v>0</v>
      </c>
    </row>
    <row r="14" spans="1:17" ht="12.75">
      <c r="A14" s="4" t="s">
        <v>17</v>
      </c>
      <c r="B14" s="4"/>
      <c r="C14" s="21">
        <v>3445075</v>
      </c>
      <c r="D14" s="21"/>
      <c r="E14" s="21">
        <v>7583339</v>
      </c>
      <c r="F14" s="21"/>
      <c r="G14" s="21">
        <v>2393207</v>
      </c>
      <c r="H14" s="21"/>
      <c r="I14" s="21">
        <v>3116707</v>
      </c>
      <c r="J14" s="21"/>
      <c r="K14" s="21">
        <f>61187+28800</f>
        <v>89987</v>
      </c>
      <c r="L14" s="21"/>
      <c r="M14" s="21">
        <v>4376645</v>
      </c>
      <c r="N14" s="21"/>
      <c r="O14" s="21">
        <f t="shared" si="0"/>
        <v>4466632</v>
      </c>
      <c r="P14" s="21"/>
      <c r="Q14" s="79">
        <f t="shared" si="1"/>
        <v>0</v>
      </c>
    </row>
    <row r="15" spans="1:17" ht="12.75">
      <c r="A15" s="4" t="s">
        <v>18</v>
      </c>
      <c r="B15" s="4"/>
      <c r="C15" s="21">
        <f>3299468+20368</f>
        <v>3319836</v>
      </c>
      <c r="D15" s="21"/>
      <c r="E15" s="21">
        <v>9988022</v>
      </c>
      <c r="F15" s="21"/>
      <c r="G15" s="21">
        <v>2626337</v>
      </c>
      <c r="H15" s="21"/>
      <c r="I15" s="21">
        <v>3301420</v>
      </c>
      <c r="J15" s="21"/>
      <c r="K15" s="21">
        <f>936730+1239213+102587</f>
        <v>2278530</v>
      </c>
      <c r="L15" s="21"/>
      <c r="M15" s="21">
        <f>845144+3562928</f>
        <v>4408072</v>
      </c>
      <c r="N15" s="21"/>
      <c r="O15" s="21">
        <f t="shared" si="0"/>
        <v>6686602</v>
      </c>
      <c r="P15" s="21"/>
      <c r="Q15" s="79">
        <f t="shared" si="1"/>
        <v>0</v>
      </c>
    </row>
    <row r="16" spans="1:17" ht="12.75" hidden="1">
      <c r="A16" s="4" t="s">
        <v>254</v>
      </c>
      <c r="B16" s="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f t="shared" si="0"/>
        <v>0</v>
      </c>
      <c r="P16" s="21"/>
      <c r="Q16" s="79">
        <f t="shared" si="1"/>
        <v>0</v>
      </c>
    </row>
    <row r="17" spans="1:17" ht="12.75">
      <c r="A17" s="4" t="s">
        <v>178</v>
      </c>
      <c r="B17" s="4"/>
      <c r="C17" s="21">
        <f>27352633+217702+36047</f>
        <v>27606382</v>
      </c>
      <c r="D17" s="21"/>
      <c r="E17" s="21">
        <v>57224079</v>
      </c>
      <c r="F17" s="21"/>
      <c r="G17" s="21">
        <v>18989397</v>
      </c>
      <c r="H17" s="21"/>
      <c r="I17" s="21">
        <v>26711258</v>
      </c>
      <c r="J17" s="21"/>
      <c r="K17" s="21">
        <f>2454294+115000+4550000+36047+365202</f>
        <v>7520543</v>
      </c>
      <c r="L17" s="21"/>
      <c r="M17" s="21">
        <f>17729295+5262983</f>
        <v>22992278</v>
      </c>
      <c r="N17" s="21"/>
      <c r="O17" s="21">
        <f t="shared" si="0"/>
        <v>30512821</v>
      </c>
      <c r="P17" s="21"/>
      <c r="Q17" s="79">
        <f t="shared" si="1"/>
        <v>0</v>
      </c>
    </row>
    <row r="18" spans="1:17" ht="12.75">
      <c r="A18" s="4" t="s">
        <v>20</v>
      </c>
      <c r="B18" s="4"/>
      <c r="C18" s="21">
        <f>458701+46131</f>
        <v>504832</v>
      </c>
      <c r="D18" s="21"/>
      <c r="E18" s="21">
        <v>3171362</v>
      </c>
      <c r="F18" s="21"/>
      <c r="G18" s="21">
        <v>1874107</v>
      </c>
      <c r="H18" s="21"/>
      <c r="I18" s="21">
        <v>2083622</v>
      </c>
      <c r="J18" s="21"/>
      <c r="K18" s="21">
        <f>100876+72776+15602+6000</f>
        <v>195254</v>
      </c>
      <c r="L18" s="21"/>
      <c r="M18" s="21">
        <v>892486</v>
      </c>
      <c r="N18" s="21"/>
      <c r="O18" s="21">
        <f t="shared" si="0"/>
        <v>1087740</v>
      </c>
      <c r="P18" s="21"/>
      <c r="Q18" s="79">
        <f t="shared" si="1"/>
        <v>0</v>
      </c>
    </row>
    <row r="19" spans="1:17" ht="12.75" hidden="1">
      <c r="A19" s="4" t="s">
        <v>172</v>
      </c>
      <c r="B19" s="4"/>
      <c r="C19" s="21">
        <v>0</v>
      </c>
      <c r="D19" s="21"/>
      <c r="E19" s="21">
        <v>0</v>
      </c>
      <c r="F19" s="21"/>
      <c r="G19" s="21">
        <v>0</v>
      </c>
      <c r="H19" s="21"/>
      <c r="I19" s="21">
        <v>0</v>
      </c>
      <c r="J19" s="21"/>
      <c r="K19" s="21">
        <v>0</v>
      </c>
      <c r="L19" s="21"/>
      <c r="M19" s="21">
        <v>0</v>
      </c>
      <c r="N19" s="21"/>
      <c r="O19" s="21">
        <f t="shared" si="0"/>
        <v>0</v>
      </c>
      <c r="P19" s="21"/>
      <c r="Q19" s="79">
        <f t="shared" si="1"/>
        <v>0</v>
      </c>
    </row>
    <row r="20" spans="1:17" ht="12.75">
      <c r="A20" s="4" t="s">
        <v>21</v>
      </c>
      <c r="B20" s="4"/>
      <c r="C20" s="21">
        <v>10893186</v>
      </c>
      <c r="D20" s="21"/>
      <c r="E20" s="21">
        <v>19488017</v>
      </c>
      <c r="F20" s="21"/>
      <c r="G20" s="21">
        <v>6934755</v>
      </c>
      <c r="H20" s="21"/>
      <c r="I20" s="21">
        <v>8584229</v>
      </c>
      <c r="J20" s="21"/>
      <c r="K20" s="21">
        <f>1960218+37012+74115</f>
        <v>2071345</v>
      </c>
      <c r="L20" s="21"/>
      <c r="M20" s="21">
        <v>8832443</v>
      </c>
      <c r="N20" s="21"/>
      <c r="O20" s="21">
        <f t="shared" si="0"/>
        <v>10903788</v>
      </c>
      <c r="P20" s="21"/>
      <c r="Q20" s="79">
        <f t="shared" si="1"/>
        <v>0</v>
      </c>
    </row>
    <row r="21" spans="1:17" ht="12.75">
      <c r="A21" s="4" t="s">
        <v>184</v>
      </c>
      <c r="B21" s="4"/>
      <c r="C21" s="21">
        <f>19408177</f>
        <v>19408177</v>
      </c>
      <c r="D21" s="21"/>
      <c r="E21" s="21">
        <v>37176249</v>
      </c>
      <c r="F21" s="21"/>
      <c r="G21" s="21">
        <v>14243827</v>
      </c>
      <c r="H21" s="21"/>
      <c r="I21" s="21">
        <v>16292423</v>
      </c>
      <c r="J21" s="21"/>
      <c r="K21" s="21">
        <f>539993+1364690+88618</f>
        <v>1993301</v>
      </c>
      <c r="L21" s="21"/>
      <c r="M21" s="21">
        <f>2300000+16590525</f>
        <v>18890525</v>
      </c>
      <c r="N21" s="21"/>
      <c r="O21" s="21">
        <f t="shared" si="0"/>
        <v>20883826</v>
      </c>
      <c r="P21" s="21"/>
      <c r="Q21" s="79">
        <f t="shared" si="1"/>
        <v>0</v>
      </c>
    </row>
    <row r="22" spans="1:17" ht="12.75">
      <c r="A22" s="4" t="s">
        <v>22</v>
      </c>
      <c r="B22" s="4"/>
      <c r="C22" s="21">
        <v>1650299</v>
      </c>
      <c r="D22" s="21"/>
      <c r="E22" s="21">
        <v>6040971</v>
      </c>
      <c r="F22" s="21"/>
      <c r="G22" s="21">
        <v>2257497</v>
      </c>
      <c r="H22" s="21"/>
      <c r="I22" s="21">
        <v>3080627</v>
      </c>
      <c r="J22" s="21"/>
      <c r="K22" s="21">
        <f>151517+63174+11977+106269</f>
        <v>332937</v>
      </c>
      <c r="L22" s="21"/>
      <c r="M22" s="21">
        <v>2627407</v>
      </c>
      <c r="N22" s="21"/>
      <c r="O22" s="21">
        <f t="shared" si="0"/>
        <v>2960344</v>
      </c>
      <c r="P22" s="21"/>
      <c r="Q22" s="79">
        <f t="shared" si="1"/>
        <v>0</v>
      </c>
    </row>
    <row r="23" spans="1:17" ht="12.75" hidden="1">
      <c r="A23" s="4" t="s">
        <v>23</v>
      </c>
      <c r="B23" s="4"/>
      <c r="C23" s="21">
        <v>0</v>
      </c>
      <c r="D23" s="21"/>
      <c r="E23" s="21">
        <v>0</v>
      </c>
      <c r="F23" s="21"/>
      <c r="G23" s="21">
        <v>0</v>
      </c>
      <c r="H23" s="21"/>
      <c r="I23" s="21">
        <v>0</v>
      </c>
      <c r="J23" s="21"/>
      <c r="K23" s="21">
        <v>0</v>
      </c>
      <c r="L23" s="21"/>
      <c r="M23" s="21">
        <v>0</v>
      </c>
      <c r="N23" s="21"/>
      <c r="O23" s="21">
        <f t="shared" si="0"/>
        <v>0</v>
      </c>
      <c r="P23" s="21"/>
      <c r="Q23" s="79">
        <f t="shared" si="1"/>
        <v>0</v>
      </c>
    </row>
    <row r="24" spans="1:17" ht="12.75">
      <c r="A24" s="4" t="s">
        <v>24</v>
      </c>
      <c r="B24" s="4"/>
      <c r="C24" s="21">
        <v>1481534</v>
      </c>
      <c r="D24" s="21"/>
      <c r="E24" s="21">
        <v>4426746</v>
      </c>
      <c r="F24" s="21"/>
      <c r="G24" s="21">
        <v>2333293</v>
      </c>
      <c r="H24" s="21"/>
      <c r="I24" s="21">
        <v>2641960</v>
      </c>
      <c r="J24" s="21"/>
      <c r="K24" s="21">
        <f>298218+75886+12025</f>
        <v>386129</v>
      </c>
      <c r="L24" s="21"/>
      <c r="M24" s="21">
        <v>1398657</v>
      </c>
      <c r="N24" s="21"/>
      <c r="O24" s="21">
        <f t="shared" si="0"/>
        <v>1784786</v>
      </c>
      <c r="P24" s="21"/>
      <c r="Q24" s="79">
        <f t="shared" si="1"/>
        <v>0</v>
      </c>
    </row>
    <row r="25" spans="1:17" ht="12.75">
      <c r="A25" s="4" t="s">
        <v>182</v>
      </c>
      <c r="B25" s="4"/>
      <c r="C25" s="21">
        <f>3385192</f>
        <v>3385192</v>
      </c>
      <c r="D25" s="21"/>
      <c r="E25" s="21">
        <v>7879368</v>
      </c>
      <c r="F25" s="21"/>
      <c r="G25" s="21">
        <v>2560739</v>
      </c>
      <c r="H25" s="21"/>
      <c r="I25" s="21">
        <v>2850700</v>
      </c>
      <c r="J25" s="21"/>
      <c r="K25" s="21">
        <f>85472+358127</f>
        <v>443599</v>
      </c>
      <c r="L25" s="21"/>
      <c r="M25" s="21">
        <v>4585069</v>
      </c>
      <c r="N25" s="21"/>
      <c r="O25" s="21">
        <f t="shared" si="0"/>
        <v>5028668</v>
      </c>
      <c r="P25" s="21"/>
      <c r="Q25" s="79">
        <f t="shared" si="1"/>
        <v>0</v>
      </c>
    </row>
    <row r="26" spans="1:17" ht="12.75">
      <c r="A26" s="4" t="s">
        <v>25</v>
      </c>
      <c r="B26" s="4"/>
      <c r="C26" s="21">
        <f>70086000+31892000</f>
        <v>101978000</v>
      </c>
      <c r="D26" s="21"/>
      <c r="E26" s="21">
        <v>231937000</v>
      </c>
      <c r="F26" s="21"/>
      <c r="G26" s="21">
        <v>50616000</v>
      </c>
      <c r="H26" s="21"/>
      <c r="I26" s="21">
        <v>69043000</v>
      </c>
      <c r="J26" s="21"/>
      <c r="K26" s="21">
        <f>28411000+1000000+9826000</f>
        <v>39237000</v>
      </c>
      <c r="L26" s="21"/>
      <c r="M26" s="21">
        <f>832000+122825000</f>
        <v>123657000</v>
      </c>
      <c r="N26" s="21"/>
      <c r="O26" s="21">
        <f t="shared" si="0"/>
        <v>162894000</v>
      </c>
      <c r="P26" s="21"/>
      <c r="Q26" s="79">
        <f t="shared" si="1"/>
        <v>0</v>
      </c>
    </row>
    <row r="27" spans="1:17" ht="12.75">
      <c r="A27" s="4" t="s">
        <v>26</v>
      </c>
      <c r="B27" s="4"/>
      <c r="C27" s="21">
        <f>992900+291361</f>
        <v>1284261</v>
      </c>
      <c r="D27" s="21"/>
      <c r="E27" s="21">
        <v>5669608</v>
      </c>
      <c r="F27" s="21"/>
      <c r="G27" s="21">
        <v>3006300</v>
      </c>
      <c r="H27" s="21"/>
      <c r="I27" s="21">
        <v>3407946</v>
      </c>
      <c r="J27" s="21"/>
      <c r="K27" s="21">
        <f>16723+33087+62290</f>
        <v>112100</v>
      </c>
      <c r="L27" s="21"/>
      <c r="M27" s="21">
        <v>2149562</v>
      </c>
      <c r="N27" s="21"/>
      <c r="O27" s="21">
        <f t="shared" si="0"/>
        <v>2261662</v>
      </c>
      <c r="P27" s="21"/>
      <c r="Q27" s="79">
        <f t="shared" si="1"/>
        <v>0</v>
      </c>
    </row>
    <row r="28" spans="1:17" ht="12.75">
      <c r="A28" s="4" t="s">
        <v>27</v>
      </c>
      <c r="B28" s="4"/>
      <c r="C28" s="21">
        <f>6656857+146401</f>
        <v>6803258</v>
      </c>
      <c r="D28" s="21"/>
      <c r="E28" s="21">
        <v>11947148</v>
      </c>
      <c r="F28" s="21"/>
      <c r="G28" s="21">
        <v>2644643</v>
      </c>
      <c r="H28" s="21"/>
      <c r="I28" s="21">
        <v>2901234</v>
      </c>
      <c r="J28" s="21"/>
      <c r="K28" s="21">
        <f>75487+86009+192216+60168+1668602</f>
        <v>2082482</v>
      </c>
      <c r="L28" s="21"/>
      <c r="M28" s="21">
        <v>6963432</v>
      </c>
      <c r="N28" s="21"/>
      <c r="O28" s="21">
        <f aca="true" t="shared" si="2" ref="O28:O74">+M28+K28</f>
        <v>9045914</v>
      </c>
      <c r="P28" s="21"/>
      <c r="Q28" s="79">
        <f aca="true" t="shared" si="3" ref="Q28:Q74">+E28-I28-O28</f>
        <v>0</v>
      </c>
    </row>
    <row r="29" spans="1:17" ht="12.75">
      <c r="A29" s="4" t="s">
        <v>28</v>
      </c>
      <c r="B29" s="4"/>
      <c r="C29" s="21">
        <f>16007909+15893</f>
        <v>16023802</v>
      </c>
      <c r="D29" s="21"/>
      <c r="E29" s="21">
        <v>28962482</v>
      </c>
      <c r="F29" s="21"/>
      <c r="G29" s="21">
        <v>8269527</v>
      </c>
      <c r="H29" s="21"/>
      <c r="I29" s="21">
        <v>10269486</v>
      </c>
      <c r="J29" s="21"/>
      <c r="K29" s="21">
        <v>709348</v>
      </c>
      <c r="L29" s="21"/>
      <c r="M29" s="21">
        <v>17983648</v>
      </c>
      <c r="N29" s="21"/>
      <c r="O29" s="21">
        <f t="shared" si="2"/>
        <v>18692996</v>
      </c>
      <c r="P29" s="21"/>
      <c r="Q29" s="79">
        <f t="shared" si="3"/>
        <v>0</v>
      </c>
    </row>
    <row r="30" spans="1:17" ht="12.75">
      <c r="A30" s="4" t="s">
        <v>29</v>
      </c>
      <c r="B30" s="4"/>
      <c r="C30" s="21">
        <f>7645268</f>
        <v>7645268</v>
      </c>
      <c r="D30" s="21"/>
      <c r="E30" s="21">
        <v>18623817</v>
      </c>
      <c r="F30" s="21"/>
      <c r="G30" s="21">
        <v>8091964</v>
      </c>
      <c r="H30" s="21"/>
      <c r="I30" s="21">
        <v>9336763</v>
      </c>
      <c r="J30" s="21"/>
      <c r="K30" s="21">
        <f>45897+112616+6401</f>
        <v>164914</v>
      </c>
      <c r="L30" s="21"/>
      <c r="M30" s="21">
        <f>1187567+7934573</f>
        <v>9122140</v>
      </c>
      <c r="N30" s="21"/>
      <c r="O30" s="21">
        <f t="shared" si="2"/>
        <v>9287054</v>
      </c>
      <c r="P30" s="21"/>
      <c r="Q30" s="79">
        <f t="shared" si="3"/>
        <v>0</v>
      </c>
    </row>
    <row r="31" spans="1:17" ht="12.75">
      <c r="A31" s="4" t="s">
        <v>30</v>
      </c>
      <c r="B31" s="4"/>
      <c r="C31" s="21">
        <f>13574666+86215+251760</f>
        <v>13912641</v>
      </c>
      <c r="D31" s="21"/>
      <c r="E31" s="21">
        <v>26376545</v>
      </c>
      <c r="F31" s="21"/>
      <c r="G31" s="21">
        <v>9076893</v>
      </c>
      <c r="H31" s="21"/>
      <c r="I31" s="21">
        <v>11132357</v>
      </c>
      <c r="J31" s="21"/>
      <c r="K31" s="21">
        <f>1179349+251760</f>
        <v>1431109</v>
      </c>
      <c r="L31" s="21"/>
      <c r="M31" s="21">
        <f>218395+13594684</f>
        <v>13813079</v>
      </c>
      <c r="N31" s="21"/>
      <c r="O31" s="21">
        <f t="shared" si="2"/>
        <v>15244188</v>
      </c>
      <c r="P31" s="21"/>
      <c r="Q31" s="79">
        <f t="shared" si="3"/>
        <v>0</v>
      </c>
    </row>
    <row r="32" spans="1:17" ht="12.75" hidden="1">
      <c r="A32" s="4" t="s">
        <v>253</v>
      </c>
      <c r="B32" s="4"/>
      <c r="C32" s="21">
        <v>0</v>
      </c>
      <c r="D32" s="21"/>
      <c r="E32" s="21">
        <v>0</v>
      </c>
      <c r="F32" s="21"/>
      <c r="G32" s="21">
        <v>0</v>
      </c>
      <c r="H32" s="21"/>
      <c r="I32" s="21">
        <v>0</v>
      </c>
      <c r="J32" s="21"/>
      <c r="K32" s="21">
        <v>0</v>
      </c>
      <c r="L32" s="21"/>
      <c r="M32" s="21">
        <v>0</v>
      </c>
      <c r="N32" s="21"/>
      <c r="O32" s="21">
        <f t="shared" si="2"/>
        <v>0</v>
      </c>
      <c r="P32" s="21"/>
      <c r="Q32" s="79">
        <f t="shared" si="3"/>
        <v>0</v>
      </c>
    </row>
    <row r="33" spans="1:17" ht="12.75">
      <c r="A33" s="4" t="s">
        <v>32</v>
      </c>
      <c r="B33" s="4"/>
      <c r="C33" s="21">
        <f>119968000+1296000+1000</f>
        <v>121265000</v>
      </c>
      <c r="D33" s="21"/>
      <c r="E33" s="21">
        <v>273404000</v>
      </c>
      <c r="F33" s="21"/>
      <c r="G33" s="21">
        <v>37685000</v>
      </c>
      <c r="H33" s="21"/>
      <c r="I33" s="21">
        <v>99584000</v>
      </c>
      <c r="J33" s="21"/>
      <c r="K33" s="21">
        <f>597000+1761000+1888000</f>
        <v>4246000</v>
      </c>
      <c r="L33" s="21"/>
      <c r="M33" s="21">
        <f>11750000+17598000+140226000</f>
        <v>169574000</v>
      </c>
      <c r="N33" s="21"/>
      <c r="O33" s="21">
        <f t="shared" si="2"/>
        <v>173820000</v>
      </c>
      <c r="P33" s="21"/>
      <c r="Q33" s="79">
        <f t="shared" si="3"/>
        <v>0</v>
      </c>
    </row>
    <row r="34" spans="1:17" ht="12.75">
      <c r="A34" s="4" t="s">
        <v>33</v>
      </c>
      <c r="B34" s="4"/>
      <c r="C34" s="21">
        <f>3466830+30861</f>
        <v>3497691</v>
      </c>
      <c r="D34" s="21"/>
      <c r="E34" s="21">
        <v>7511687</v>
      </c>
      <c r="F34" s="21"/>
      <c r="G34" s="21">
        <v>2720825</v>
      </c>
      <c r="H34" s="21"/>
      <c r="I34" s="21">
        <v>3053881</v>
      </c>
      <c r="J34" s="21"/>
      <c r="K34" s="21">
        <f>58959+78062+60707+185945+23948</f>
        <v>407621</v>
      </c>
      <c r="L34" s="21"/>
      <c r="M34" s="21">
        <f>500000+3550185</f>
        <v>4050185</v>
      </c>
      <c r="N34" s="21"/>
      <c r="O34" s="21">
        <f t="shared" si="2"/>
        <v>4457806</v>
      </c>
      <c r="P34" s="21"/>
      <c r="Q34" s="79">
        <f t="shared" si="3"/>
        <v>0</v>
      </c>
    </row>
    <row r="35" spans="1:17" ht="12.75">
      <c r="A35" s="4" t="s">
        <v>34</v>
      </c>
      <c r="B35" s="4"/>
      <c r="C35" s="21">
        <v>1255471</v>
      </c>
      <c r="D35" s="21"/>
      <c r="E35" s="21">
        <v>4035470</v>
      </c>
      <c r="F35" s="21"/>
      <c r="G35" s="21">
        <v>2067157</v>
      </c>
      <c r="H35" s="21"/>
      <c r="I35" s="21">
        <v>2332208</v>
      </c>
      <c r="J35" s="21"/>
      <c r="K35" s="21">
        <f>165525+66403</f>
        <v>231928</v>
      </c>
      <c r="L35" s="21"/>
      <c r="M35" s="21">
        <v>1471334</v>
      </c>
      <c r="N35" s="21"/>
      <c r="O35" s="21">
        <f t="shared" si="2"/>
        <v>1703262</v>
      </c>
      <c r="P35" s="21"/>
      <c r="Q35" s="79">
        <f t="shared" si="3"/>
        <v>0</v>
      </c>
    </row>
    <row r="36" spans="1:17" ht="12.75">
      <c r="A36" s="4" t="s">
        <v>35</v>
      </c>
      <c r="B36" s="4"/>
      <c r="C36" s="21">
        <f>5522396+17267</f>
        <v>5539663</v>
      </c>
      <c r="D36" s="21"/>
      <c r="E36" s="21">
        <v>18656698</v>
      </c>
      <c r="F36" s="21"/>
      <c r="G36" s="21">
        <v>11119823</v>
      </c>
      <c r="H36" s="21"/>
      <c r="I36" s="21">
        <v>12413102</v>
      </c>
      <c r="J36" s="21"/>
      <c r="K36" s="21">
        <f>382028+200000</f>
        <v>582028</v>
      </c>
      <c r="L36" s="21"/>
      <c r="M36" s="21">
        <v>5661568</v>
      </c>
      <c r="N36" s="21"/>
      <c r="O36" s="21">
        <f t="shared" si="2"/>
        <v>6243596</v>
      </c>
      <c r="P36" s="21"/>
      <c r="Q36" s="79">
        <f t="shared" si="3"/>
        <v>0</v>
      </c>
    </row>
    <row r="37" spans="1:17" ht="12.75">
      <c r="A37" s="4" t="s">
        <v>185</v>
      </c>
      <c r="B37" s="4"/>
      <c r="C37" s="21">
        <v>11108734</v>
      </c>
      <c r="D37" s="21"/>
      <c r="E37" s="21">
        <v>27031138</v>
      </c>
      <c r="F37" s="21"/>
      <c r="G37" s="21">
        <v>10842946</v>
      </c>
      <c r="H37" s="21"/>
      <c r="I37" s="21">
        <v>28247342</v>
      </c>
      <c r="J37" s="21"/>
      <c r="K37" s="21">
        <v>1927119</v>
      </c>
      <c r="L37" s="21"/>
      <c r="M37" s="21">
        <f>1750000-4893323</f>
        <v>-3143323</v>
      </c>
      <c r="N37" s="21"/>
      <c r="O37" s="21">
        <f t="shared" si="2"/>
        <v>-1216204</v>
      </c>
      <c r="P37" s="21"/>
      <c r="Q37" s="79">
        <f t="shared" si="3"/>
        <v>0</v>
      </c>
    </row>
    <row r="38" spans="1:17" ht="12.75" hidden="1">
      <c r="A38" s="4" t="s">
        <v>258</v>
      </c>
      <c r="B38" s="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>
        <f t="shared" si="2"/>
        <v>0</v>
      </c>
      <c r="P38" s="21"/>
      <c r="Q38" s="79">
        <f t="shared" si="3"/>
        <v>0</v>
      </c>
    </row>
    <row r="39" spans="1:17" ht="12.75" hidden="1">
      <c r="A39" s="4" t="s">
        <v>259</v>
      </c>
      <c r="B39" s="4"/>
      <c r="C39" s="21">
        <v>0</v>
      </c>
      <c r="D39" s="21"/>
      <c r="E39" s="21">
        <v>0</v>
      </c>
      <c r="F39" s="21"/>
      <c r="G39" s="21">
        <v>0</v>
      </c>
      <c r="H39" s="21"/>
      <c r="I39" s="21">
        <v>0</v>
      </c>
      <c r="J39" s="21"/>
      <c r="K39" s="21">
        <v>0</v>
      </c>
      <c r="L39" s="21"/>
      <c r="M39" s="21">
        <v>0</v>
      </c>
      <c r="N39" s="21"/>
      <c r="O39" s="21">
        <f t="shared" si="2"/>
        <v>0</v>
      </c>
      <c r="P39" s="21"/>
      <c r="Q39" s="79">
        <f t="shared" si="3"/>
        <v>0</v>
      </c>
    </row>
    <row r="40" spans="1:17" ht="12.75">
      <c r="A40" s="4" t="s">
        <v>38</v>
      </c>
      <c r="B40" s="4"/>
      <c r="C40" s="21">
        <v>4886545</v>
      </c>
      <c r="D40" s="21"/>
      <c r="E40" s="21">
        <v>10155590</v>
      </c>
      <c r="F40" s="21"/>
      <c r="G40" s="21">
        <v>3881426</v>
      </c>
      <c r="H40" s="21"/>
      <c r="I40" s="21">
        <v>4782222</v>
      </c>
      <c r="J40" s="21"/>
      <c r="K40" s="21">
        <v>321452</v>
      </c>
      <c r="L40" s="21"/>
      <c r="M40" s="21">
        <v>5051916</v>
      </c>
      <c r="N40" s="21"/>
      <c r="O40" s="21">
        <f t="shared" si="2"/>
        <v>5373368</v>
      </c>
      <c r="P40" s="21"/>
      <c r="Q40" s="79">
        <f t="shared" si="3"/>
        <v>0</v>
      </c>
    </row>
    <row r="41" spans="1:17" ht="12.75" hidden="1">
      <c r="A41" s="4" t="s">
        <v>168</v>
      </c>
      <c r="B41" s="4"/>
      <c r="C41" s="21">
        <v>0</v>
      </c>
      <c r="D41" s="21"/>
      <c r="E41" s="21">
        <v>0</v>
      </c>
      <c r="F41" s="21"/>
      <c r="G41" s="21">
        <v>0</v>
      </c>
      <c r="H41" s="21"/>
      <c r="I41" s="21">
        <v>0</v>
      </c>
      <c r="J41" s="21"/>
      <c r="K41" s="21">
        <v>0</v>
      </c>
      <c r="L41" s="21"/>
      <c r="M41" s="21">
        <v>0</v>
      </c>
      <c r="N41" s="21"/>
      <c r="O41" s="21">
        <f t="shared" si="2"/>
        <v>0</v>
      </c>
      <c r="P41" s="21"/>
      <c r="Q41" s="79">
        <f t="shared" si="3"/>
        <v>0</v>
      </c>
    </row>
    <row r="42" spans="1:17" ht="12.75" hidden="1">
      <c r="A42" s="4" t="s">
        <v>39</v>
      </c>
      <c r="B42" s="4"/>
      <c r="C42" s="21">
        <v>0</v>
      </c>
      <c r="D42" s="21"/>
      <c r="E42" s="21">
        <v>0</v>
      </c>
      <c r="F42" s="21"/>
      <c r="G42" s="21">
        <v>0</v>
      </c>
      <c r="H42" s="21"/>
      <c r="I42" s="21">
        <v>0</v>
      </c>
      <c r="J42" s="21"/>
      <c r="K42" s="21">
        <v>0</v>
      </c>
      <c r="L42" s="21"/>
      <c r="M42" s="21">
        <v>0</v>
      </c>
      <c r="N42" s="21"/>
      <c r="O42" s="21">
        <f t="shared" si="2"/>
        <v>0</v>
      </c>
      <c r="P42" s="21"/>
      <c r="Q42" s="79">
        <f t="shared" si="3"/>
        <v>0</v>
      </c>
    </row>
    <row r="43" spans="1:17" ht="12.75">
      <c r="A43" s="4" t="s">
        <v>40</v>
      </c>
      <c r="B43" s="4"/>
      <c r="C43" s="21">
        <v>2710886</v>
      </c>
      <c r="D43" s="21"/>
      <c r="E43" s="21">
        <v>6291310</v>
      </c>
      <c r="F43" s="21"/>
      <c r="G43" s="21">
        <v>2854870</v>
      </c>
      <c r="H43" s="21"/>
      <c r="I43" s="21">
        <v>3029329</v>
      </c>
      <c r="J43" s="21"/>
      <c r="K43" s="21">
        <f>58879+34619+20058+1271</f>
        <v>114827</v>
      </c>
      <c r="L43" s="21"/>
      <c r="M43" s="21">
        <v>3147154</v>
      </c>
      <c r="N43" s="21"/>
      <c r="O43" s="21">
        <f t="shared" si="2"/>
        <v>3261981</v>
      </c>
      <c r="P43" s="21"/>
      <c r="Q43" s="79">
        <f t="shared" si="3"/>
        <v>0</v>
      </c>
    </row>
    <row r="44" spans="1:17" ht="12.75" hidden="1">
      <c r="A44" s="4" t="s">
        <v>41</v>
      </c>
      <c r="B44" s="4"/>
      <c r="C44" s="21">
        <v>0</v>
      </c>
      <c r="D44" s="21"/>
      <c r="E44" s="21">
        <v>0</v>
      </c>
      <c r="F44" s="21"/>
      <c r="G44" s="21">
        <v>0</v>
      </c>
      <c r="H44" s="21"/>
      <c r="I44" s="21">
        <v>0</v>
      </c>
      <c r="J44" s="21"/>
      <c r="K44" s="21">
        <v>0</v>
      </c>
      <c r="L44" s="21"/>
      <c r="M44" s="21">
        <v>0</v>
      </c>
      <c r="N44" s="21"/>
      <c r="O44" s="21">
        <f t="shared" si="2"/>
        <v>0</v>
      </c>
      <c r="P44" s="21"/>
      <c r="Q44" s="79">
        <f t="shared" si="3"/>
        <v>0</v>
      </c>
    </row>
    <row r="45" spans="1:17" ht="12.75">
      <c r="A45" s="4" t="s">
        <v>42</v>
      </c>
      <c r="B45" s="4"/>
      <c r="C45" s="21">
        <v>2116613</v>
      </c>
      <c r="D45" s="21"/>
      <c r="E45" s="21">
        <v>5050859</v>
      </c>
      <c r="F45" s="21"/>
      <c r="G45" s="21">
        <v>2417000</v>
      </c>
      <c r="H45" s="21"/>
      <c r="I45" s="21">
        <v>2620589</v>
      </c>
      <c r="J45" s="21"/>
      <c r="K45" s="21">
        <v>32642</v>
      </c>
      <c r="L45" s="21"/>
      <c r="M45" s="21">
        <v>2397628</v>
      </c>
      <c r="N45" s="21"/>
      <c r="O45" s="21">
        <f t="shared" si="2"/>
        <v>2430270</v>
      </c>
      <c r="P45" s="21"/>
      <c r="Q45" s="79">
        <f t="shared" si="3"/>
        <v>0</v>
      </c>
    </row>
    <row r="46" spans="1:17" ht="12.75">
      <c r="A46" s="4" t="s">
        <v>43</v>
      </c>
      <c r="B46" s="4"/>
      <c r="C46" s="21">
        <f>1544397+13895</f>
        <v>1558292</v>
      </c>
      <c r="D46" s="21"/>
      <c r="E46" s="21">
        <v>5210144</v>
      </c>
      <c r="F46" s="21"/>
      <c r="G46" s="21">
        <v>3051851</v>
      </c>
      <c r="H46" s="21"/>
      <c r="I46" s="21">
        <v>3483765</v>
      </c>
      <c r="J46" s="21"/>
      <c r="K46" s="21">
        <f>32736+69978+55000</f>
        <v>157714</v>
      </c>
      <c r="L46" s="21"/>
      <c r="M46" s="21">
        <v>1568665</v>
      </c>
      <c r="N46" s="21"/>
      <c r="O46" s="21">
        <f t="shared" si="2"/>
        <v>1726379</v>
      </c>
      <c r="P46" s="21"/>
      <c r="Q46" s="79">
        <f t="shared" si="3"/>
        <v>0</v>
      </c>
    </row>
    <row r="47" spans="1:17" ht="12.75">
      <c r="A47" s="4" t="s">
        <v>44</v>
      </c>
      <c r="B47" s="4"/>
      <c r="C47" s="21">
        <v>2236212</v>
      </c>
      <c r="D47" s="21"/>
      <c r="E47" s="21">
        <v>5595697</v>
      </c>
      <c r="F47" s="21"/>
      <c r="G47" s="21">
        <v>1770773</v>
      </c>
      <c r="H47" s="21"/>
      <c r="I47" s="21">
        <v>2308590</v>
      </c>
      <c r="J47" s="21"/>
      <c r="K47" s="21">
        <f>71786</f>
        <v>71786</v>
      </c>
      <c r="L47" s="21"/>
      <c r="M47" s="21">
        <v>3215321</v>
      </c>
      <c r="N47" s="21"/>
      <c r="O47" s="21">
        <f t="shared" si="2"/>
        <v>3287107</v>
      </c>
      <c r="P47" s="21"/>
      <c r="Q47" s="79">
        <f t="shared" si="3"/>
        <v>0</v>
      </c>
    </row>
    <row r="48" spans="1:17" ht="12.75" hidden="1">
      <c r="A48" s="4" t="s">
        <v>255</v>
      </c>
      <c r="B48" s="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>
        <f t="shared" si="2"/>
        <v>0</v>
      </c>
      <c r="P48" s="21"/>
      <c r="Q48" s="79">
        <f t="shared" si="3"/>
        <v>0</v>
      </c>
    </row>
    <row r="49" spans="1:17" ht="12.75">
      <c r="A49" s="4" t="s">
        <v>46</v>
      </c>
      <c r="B49" s="4"/>
      <c r="C49" s="21">
        <f>127468+125627+42459+519411</f>
        <v>814965</v>
      </c>
      <c r="D49" s="21"/>
      <c r="E49" s="21">
        <v>7683734</v>
      </c>
      <c r="F49" s="21"/>
      <c r="G49" s="21">
        <v>3571832</v>
      </c>
      <c r="H49" s="21"/>
      <c r="I49" s="21">
        <v>4147800</v>
      </c>
      <c r="J49" s="21"/>
      <c r="K49" s="21">
        <f>27394+519411</f>
        <v>546805</v>
      </c>
      <c r="L49" s="21"/>
      <c r="M49" s="21">
        <f>42459+2946670</f>
        <v>2989129</v>
      </c>
      <c r="N49" s="21"/>
      <c r="O49" s="21">
        <f t="shared" si="2"/>
        <v>3535934</v>
      </c>
      <c r="P49" s="21"/>
      <c r="Q49" s="79">
        <f t="shared" si="3"/>
        <v>0</v>
      </c>
    </row>
    <row r="50" spans="1:17" ht="12.75">
      <c r="A50" s="4" t="s">
        <v>47</v>
      </c>
      <c r="B50" s="4"/>
      <c r="C50" s="21">
        <f>2370633+18184</f>
        <v>2388817</v>
      </c>
      <c r="D50" s="21"/>
      <c r="E50" s="21">
        <v>7841665</v>
      </c>
      <c r="F50" s="21"/>
      <c r="G50" s="21">
        <v>4601291</v>
      </c>
      <c r="H50" s="21"/>
      <c r="I50" s="21">
        <v>5355580</v>
      </c>
      <c r="J50" s="21"/>
      <c r="K50" s="21">
        <f>255518+3128+38492+200000</f>
        <v>497138</v>
      </c>
      <c r="L50" s="21"/>
      <c r="M50" s="21">
        <f>1988947</f>
        <v>1988947</v>
      </c>
      <c r="N50" s="21"/>
      <c r="O50" s="21">
        <f t="shared" si="2"/>
        <v>2486085</v>
      </c>
      <c r="P50" s="21"/>
      <c r="Q50" s="79">
        <f t="shared" si="3"/>
        <v>0</v>
      </c>
    </row>
    <row r="51" spans="1:17" ht="12.75">
      <c r="A51" s="4" t="s">
        <v>48</v>
      </c>
      <c r="B51" s="4"/>
      <c r="C51" s="21">
        <v>22729856</v>
      </c>
      <c r="D51" s="21"/>
      <c r="E51" s="21">
        <v>44522139</v>
      </c>
      <c r="F51" s="21"/>
      <c r="G51" s="21">
        <v>14245633</v>
      </c>
      <c r="H51" s="21"/>
      <c r="I51" s="21">
        <v>16227094</v>
      </c>
      <c r="J51" s="21"/>
      <c r="K51" s="21">
        <f>786350+217375+3773375+1221188+218797</f>
        <v>6217085</v>
      </c>
      <c r="L51" s="21"/>
      <c r="M51" s="21">
        <v>22077960</v>
      </c>
      <c r="N51" s="21"/>
      <c r="O51" s="21">
        <f t="shared" si="2"/>
        <v>28295045</v>
      </c>
      <c r="P51" s="21"/>
      <c r="Q51" s="79">
        <f t="shared" si="3"/>
        <v>0</v>
      </c>
    </row>
    <row r="52" spans="1:17" ht="12.75" hidden="1">
      <c r="A52" s="4" t="s">
        <v>170</v>
      </c>
      <c r="B52" s="4"/>
      <c r="C52" s="21">
        <v>0</v>
      </c>
      <c r="D52" s="21"/>
      <c r="E52" s="21">
        <v>0</v>
      </c>
      <c r="F52" s="21"/>
      <c r="G52" s="21">
        <v>0</v>
      </c>
      <c r="H52" s="21"/>
      <c r="I52" s="21">
        <v>0</v>
      </c>
      <c r="J52" s="21"/>
      <c r="K52" s="21">
        <v>0</v>
      </c>
      <c r="L52" s="21"/>
      <c r="M52" s="21">
        <v>0</v>
      </c>
      <c r="N52" s="21"/>
      <c r="O52" s="21">
        <f t="shared" si="2"/>
        <v>0</v>
      </c>
      <c r="P52" s="21"/>
      <c r="Q52" s="79">
        <f t="shared" si="3"/>
        <v>0</v>
      </c>
    </row>
    <row r="53" spans="1:17" ht="12.75">
      <c r="A53" s="4" t="s">
        <v>49</v>
      </c>
      <c r="B53" s="4"/>
      <c r="C53" s="21">
        <v>6973342</v>
      </c>
      <c r="D53" s="21"/>
      <c r="E53" s="21">
        <v>23836774</v>
      </c>
      <c r="F53" s="21"/>
      <c r="G53" s="21">
        <v>7961574</v>
      </c>
      <c r="H53" s="21"/>
      <c r="I53" s="21">
        <v>10159341</v>
      </c>
      <c r="J53" s="21"/>
      <c r="K53" s="21">
        <f>735132+166450+102506</f>
        <v>1004088</v>
      </c>
      <c r="L53" s="21"/>
      <c r="M53" s="21">
        <v>12673345</v>
      </c>
      <c r="N53" s="21"/>
      <c r="O53" s="21">
        <f t="shared" si="2"/>
        <v>13677433</v>
      </c>
      <c r="P53" s="21"/>
      <c r="Q53" s="79">
        <f t="shared" si="3"/>
        <v>0</v>
      </c>
    </row>
    <row r="54" spans="1:17" ht="12.75">
      <c r="A54" s="4" t="s">
        <v>50</v>
      </c>
      <c r="B54" s="4"/>
      <c r="C54" s="21">
        <v>1988518</v>
      </c>
      <c r="D54" s="21"/>
      <c r="E54" s="21">
        <v>6904653</v>
      </c>
      <c r="F54" s="21"/>
      <c r="G54" s="21">
        <v>3694392</v>
      </c>
      <c r="H54" s="21"/>
      <c r="I54" s="21">
        <v>4377635</v>
      </c>
      <c r="J54" s="21"/>
      <c r="K54" s="21">
        <f>206530+43088+61172</f>
        <v>310790</v>
      </c>
      <c r="L54" s="21"/>
      <c r="M54" s="21">
        <v>2216228</v>
      </c>
      <c r="N54" s="21"/>
      <c r="O54" s="21">
        <f t="shared" si="2"/>
        <v>2527018</v>
      </c>
      <c r="P54" s="21"/>
      <c r="Q54" s="79">
        <f t="shared" si="3"/>
        <v>0</v>
      </c>
    </row>
    <row r="55" spans="1:17" ht="12.75">
      <c r="A55" s="4" t="s">
        <v>260</v>
      </c>
      <c r="B55" s="4"/>
      <c r="C55" s="21">
        <f>17761966</f>
        <v>17761966</v>
      </c>
      <c r="D55" s="21"/>
      <c r="E55" s="21">
        <v>49592861</v>
      </c>
      <c r="F55" s="21"/>
      <c r="G55" s="21">
        <v>10313614</v>
      </c>
      <c r="H55" s="21"/>
      <c r="I55" s="21">
        <v>14490221</v>
      </c>
      <c r="J55" s="21"/>
      <c r="K55" s="21">
        <f>1220680+194597+13324174</f>
        <v>14739451</v>
      </c>
      <c r="L55" s="21"/>
      <c r="M55" s="21">
        <v>20363189</v>
      </c>
      <c r="N55" s="21"/>
      <c r="O55" s="21">
        <f t="shared" si="2"/>
        <v>35102640</v>
      </c>
      <c r="P55" s="21"/>
      <c r="Q55" s="79">
        <f t="shared" si="3"/>
        <v>0</v>
      </c>
    </row>
    <row r="56" spans="1:17" ht="12.75">
      <c r="A56" s="4" t="s">
        <v>186</v>
      </c>
      <c r="B56" s="4"/>
      <c r="C56" s="21">
        <f>2130000+29890000</f>
        <v>32020000</v>
      </c>
      <c r="D56" s="21"/>
      <c r="E56" s="21">
        <v>78945000</v>
      </c>
      <c r="F56" s="21"/>
      <c r="G56" s="21">
        <v>31272000</v>
      </c>
      <c r="H56" s="21"/>
      <c r="I56" s="21">
        <v>36845000</v>
      </c>
      <c r="J56" s="21"/>
      <c r="K56" s="21">
        <v>1503000</v>
      </c>
      <c r="L56" s="21"/>
      <c r="M56" s="21">
        <v>40597000</v>
      </c>
      <c r="N56" s="21"/>
      <c r="O56" s="21">
        <f t="shared" si="2"/>
        <v>42100000</v>
      </c>
      <c r="P56" s="21"/>
      <c r="Q56" s="79">
        <f t="shared" si="3"/>
        <v>0</v>
      </c>
    </row>
    <row r="57" spans="1:17" ht="12.75" hidden="1">
      <c r="A57" s="4" t="s">
        <v>52</v>
      </c>
      <c r="B57" s="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>
        <f t="shared" si="2"/>
        <v>0</v>
      </c>
      <c r="P57" s="21"/>
      <c r="Q57" s="79">
        <f t="shared" si="3"/>
        <v>0</v>
      </c>
    </row>
    <row r="58" spans="1:17" ht="12.75">
      <c r="A58" s="4" t="s">
        <v>53</v>
      </c>
      <c r="B58" s="4"/>
      <c r="C58" s="21">
        <f>4069389+452014</f>
        <v>4521403</v>
      </c>
      <c r="D58" s="21"/>
      <c r="E58" s="21">
        <v>23311806</v>
      </c>
      <c r="F58" s="21"/>
      <c r="G58" s="21">
        <v>10570396</v>
      </c>
      <c r="H58" s="21"/>
      <c r="I58" s="21">
        <v>13961889</v>
      </c>
      <c r="J58" s="21"/>
      <c r="K58" s="21">
        <f>1088131+1482849</f>
        <v>2570980</v>
      </c>
      <c r="L58" s="21"/>
      <c r="M58" s="21">
        <f>6778937</f>
        <v>6778937</v>
      </c>
      <c r="N58" s="21"/>
      <c r="O58" s="21">
        <f t="shared" si="2"/>
        <v>9349917</v>
      </c>
      <c r="P58" s="21"/>
      <c r="Q58" s="79">
        <f t="shared" si="3"/>
        <v>0</v>
      </c>
    </row>
    <row r="59" spans="1:17" ht="12.75">
      <c r="A59" s="4" t="s">
        <v>54</v>
      </c>
      <c r="B59" s="4"/>
      <c r="C59" s="21">
        <v>5586578</v>
      </c>
      <c r="D59" s="21"/>
      <c r="E59" s="21">
        <v>10915556</v>
      </c>
      <c r="F59" s="21"/>
      <c r="G59" s="21">
        <v>3717919</v>
      </c>
      <c r="H59" s="21"/>
      <c r="I59" s="21">
        <v>4247173</v>
      </c>
      <c r="J59" s="21"/>
      <c r="K59" s="21">
        <f>245830+462433</f>
        <v>708263</v>
      </c>
      <c r="L59" s="21"/>
      <c r="M59" s="21">
        <f>5960120</f>
        <v>5960120</v>
      </c>
      <c r="N59" s="21"/>
      <c r="O59" s="21">
        <f t="shared" si="2"/>
        <v>6668383</v>
      </c>
      <c r="P59" s="21"/>
      <c r="Q59" s="79">
        <f t="shared" si="3"/>
        <v>0</v>
      </c>
    </row>
    <row r="60" spans="1:17" ht="12.75">
      <c r="A60" s="4" t="s">
        <v>55</v>
      </c>
      <c r="B60" s="4"/>
      <c r="C60" s="21">
        <f>10480502+2880</f>
        <v>10483382</v>
      </c>
      <c r="D60" s="21"/>
      <c r="E60" s="21">
        <v>27203510</v>
      </c>
      <c r="F60" s="21"/>
      <c r="G60" s="21">
        <v>11435814</v>
      </c>
      <c r="H60" s="21"/>
      <c r="I60" s="21">
        <v>13267900</v>
      </c>
      <c r="J60" s="21"/>
      <c r="K60" s="21">
        <f>919174+124903</f>
        <v>1044077</v>
      </c>
      <c r="L60" s="21"/>
      <c r="M60" s="21">
        <f>12891533</f>
        <v>12891533</v>
      </c>
      <c r="N60" s="21"/>
      <c r="O60" s="21">
        <f t="shared" si="2"/>
        <v>13935610</v>
      </c>
      <c r="P60" s="21"/>
      <c r="Q60" s="79">
        <f t="shared" si="3"/>
        <v>0</v>
      </c>
    </row>
    <row r="61" spans="1:17" ht="12.75" hidden="1">
      <c r="A61" s="4" t="s">
        <v>171</v>
      </c>
      <c r="B61" s="4"/>
      <c r="C61" s="21">
        <v>0</v>
      </c>
      <c r="D61" s="21"/>
      <c r="E61" s="21">
        <v>0</v>
      </c>
      <c r="F61" s="21"/>
      <c r="G61" s="21">
        <v>0</v>
      </c>
      <c r="H61" s="21"/>
      <c r="I61" s="21">
        <v>0</v>
      </c>
      <c r="J61" s="21"/>
      <c r="K61" s="21">
        <v>0</v>
      </c>
      <c r="L61" s="21"/>
      <c r="M61" s="21">
        <v>0</v>
      </c>
      <c r="N61" s="21"/>
      <c r="O61" s="21">
        <f t="shared" si="2"/>
        <v>0</v>
      </c>
      <c r="P61" s="21"/>
      <c r="Q61" s="79">
        <f t="shared" si="3"/>
        <v>0</v>
      </c>
    </row>
    <row r="62" spans="1:17" ht="12.75" hidden="1">
      <c r="A62" s="4" t="s">
        <v>56</v>
      </c>
      <c r="B62" s="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>
        <f t="shared" si="2"/>
        <v>0</v>
      </c>
      <c r="P62" s="21"/>
      <c r="Q62" s="79">
        <f t="shared" si="3"/>
        <v>0</v>
      </c>
    </row>
    <row r="63" spans="1:17" ht="12.75">
      <c r="A63" s="4" t="s">
        <v>57</v>
      </c>
      <c r="B63" s="4"/>
      <c r="C63" s="21">
        <f>13870682+832089</f>
        <v>14702771</v>
      </c>
      <c r="D63" s="21"/>
      <c r="E63" s="21">
        <v>23980282</v>
      </c>
      <c r="F63" s="21"/>
      <c r="G63" s="21">
        <v>6381528</v>
      </c>
      <c r="H63" s="21"/>
      <c r="I63" s="21">
        <v>7331699</v>
      </c>
      <c r="J63" s="21"/>
      <c r="K63" s="21">
        <f>615256+125023+154166</f>
        <v>894445</v>
      </c>
      <c r="L63" s="21"/>
      <c r="M63" s="21">
        <v>15754138</v>
      </c>
      <c r="N63" s="21"/>
      <c r="O63" s="21">
        <f t="shared" si="2"/>
        <v>16648583</v>
      </c>
      <c r="P63" s="21"/>
      <c r="Q63" s="79">
        <f t="shared" si="3"/>
        <v>0</v>
      </c>
    </row>
    <row r="64" spans="1:17" ht="12.75">
      <c r="A64" s="4" t="s">
        <v>58</v>
      </c>
      <c r="B64" s="4"/>
      <c r="C64" s="21">
        <f>156508+128861</f>
        <v>285369</v>
      </c>
      <c r="D64" s="21"/>
      <c r="E64" s="21">
        <v>1656423</v>
      </c>
      <c r="F64" s="21"/>
      <c r="G64" s="21">
        <v>861883</v>
      </c>
      <c r="H64" s="21"/>
      <c r="I64" s="21">
        <v>1136213</v>
      </c>
      <c r="J64" s="21"/>
      <c r="K64" s="21">
        <f>16541+128861</f>
        <v>145402</v>
      </c>
      <c r="L64" s="21"/>
      <c r="M64" s="21">
        <v>374808</v>
      </c>
      <c r="N64" s="21"/>
      <c r="O64" s="21">
        <f t="shared" si="2"/>
        <v>520210</v>
      </c>
      <c r="P64" s="21"/>
      <c r="Q64" s="79">
        <f t="shared" si="3"/>
        <v>0</v>
      </c>
    </row>
    <row r="65" spans="1:17" ht="12.75">
      <c r="A65" s="4" t="s">
        <v>59</v>
      </c>
      <c r="B65" s="4"/>
      <c r="C65" s="21">
        <f>34694623+1142262</f>
        <v>35836885</v>
      </c>
      <c r="D65" s="21"/>
      <c r="E65" s="21">
        <v>99643521</v>
      </c>
      <c r="F65" s="21"/>
      <c r="G65" s="21">
        <v>40974967</v>
      </c>
      <c r="H65" s="21"/>
      <c r="I65" s="21">
        <v>51171814</v>
      </c>
      <c r="J65" s="21"/>
      <c r="K65" s="21">
        <v>552592</v>
      </c>
      <c r="L65" s="21"/>
      <c r="M65" s="21">
        <v>47919115</v>
      </c>
      <c r="N65" s="21"/>
      <c r="O65" s="21">
        <f t="shared" si="2"/>
        <v>48471707</v>
      </c>
      <c r="P65" s="21"/>
      <c r="Q65" s="79">
        <f t="shared" si="3"/>
        <v>0</v>
      </c>
    </row>
    <row r="66" spans="1:17" ht="12.75" hidden="1">
      <c r="A66" s="4" t="s">
        <v>60</v>
      </c>
      <c r="B66" s="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>
        <f t="shared" si="2"/>
        <v>0</v>
      </c>
      <c r="P66" s="21"/>
      <c r="Q66" s="79">
        <f t="shared" si="3"/>
        <v>0</v>
      </c>
    </row>
    <row r="67" spans="1:17" ht="12.75">
      <c r="A67" s="4" t="s">
        <v>97</v>
      </c>
      <c r="B67" s="4"/>
      <c r="C67" s="21">
        <f>993532</f>
        <v>993532</v>
      </c>
      <c r="D67" s="21"/>
      <c r="E67" s="21">
        <v>4305928</v>
      </c>
      <c r="F67" s="21"/>
      <c r="G67" s="21">
        <v>2351679</v>
      </c>
      <c r="H67" s="21"/>
      <c r="I67" s="21">
        <v>2735638</v>
      </c>
      <c r="J67" s="21"/>
      <c r="K67" s="21">
        <f>278677+17979+97982+62885</f>
        <v>457523</v>
      </c>
      <c r="L67" s="21"/>
      <c r="M67" s="21">
        <v>1112767</v>
      </c>
      <c r="N67" s="21"/>
      <c r="O67" s="21">
        <f t="shared" si="2"/>
        <v>1570290</v>
      </c>
      <c r="P67" s="21"/>
      <c r="Q67" s="79">
        <f t="shared" si="3"/>
        <v>0</v>
      </c>
    </row>
    <row r="68" spans="1:17" ht="12.75">
      <c r="A68" s="4" t="s">
        <v>61</v>
      </c>
      <c r="B68" s="4"/>
      <c r="C68" s="21">
        <f>9558186+107967</f>
        <v>9666153</v>
      </c>
      <c r="D68" s="21"/>
      <c r="E68" s="21">
        <v>18092442</v>
      </c>
      <c r="F68" s="21"/>
      <c r="G68" s="21">
        <v>5734693</v>
      </c>
      <c r="H68" s="21"/>
      <c r="I68" s="21">
        <v>7068616</v>
      </c>
      <c r="J68" s="21"/>
      <c r="K68" s="21">
        <v>383552</v>
      </c>
      <c r="L68" s="21"/>
      <c r="M68" s="21">
        <v>10640274</v>
      </c>
      <c r="N68" s="21"/>
      <c r="O68" s="21">
        <f t="shared" si="2"/>
        <v>11023826</v>
      </c>
      <c r="P68" s="21"/>
      <c r="Q68" s="79">
        <f t="shared" si="3"/>
        <v>0</v>
      </c>
    </row>
    <row r="69" spans="1:17" ht="12.75">
      <c r="A69" s="4" t="s">
        <v>62</v>
      </c>
      <c r="B69" s="4"/>
      <c r="C69" s="21">
        <f>514569+19218</f>
        <v>533787</v>
      </c>
      <c r="D69" s="21"/>
      <c r="E69" s="21">
        <v>1677534</v>
      </c>
      <c r="F69" s="21"/>
      <c r="G69" s="21">
        <v>841704</v>
      </c>
      <c r="H69" s="21"/>
      <c r="I69" s="21">
        <v>968420</v>
      </c>
      <c r="J69" s="21"/>
      <c r="K69" s="21">
        <f>20834+19218</f>
        <v>40052</v>
      </c>
      <c r="L69" s="21"/>
      <c r="M69" s="21">
        <v>669062</v>
      </c>
      <c r="N69" s="21"/>
      <c r="O69" s="21">
        <f t="shared" si="2"/>
        <v>709114</v>
      </c>
      <c r="P69" s="21"/>
      <c r="Q69" s="79">
        <f t="shared" si="3"/>
        <v>0</v>
      </c>
    </row>
    <row r="70" spans="1:17" ht="12.75">
      <c r="A70" s="4" t="s">
        <v>63</v>
      </c>
      <c r="B70" s="4"/>
      <c r="C70" s="21">
        <f>1447717+57741</f>
        <v>1505458</v>
      </c>
      <c r="D70" s="21"/>
      <c r="E70" s="21">
        <v>8948711</v>
      </c>
      <c r="F70" s="21"/>
      <c r="G70" s="21">
        <v>4103013</v>
      </c>
      <c r="H70" s="21"/>
      <c r="I70" s="21">
        <v>4577729</v>
      </c>
      <c r="J70" s="21"/>
      <c r="K70" s="21">
        <f>310150+64078+506600</f>
        <v>880828</v>
      </c>
      <c r="L70" s="21"/>
      <c r="M70" s="21">
        <v>3490154</v>
      </c>
      <c r="N70" s="21"/>
      <c r="O70" s="21">
        <f t="shared" si="2"/>
        <v>4370982</v>
      </c>
      <c r="P70" s="21"/>
      <c r="Q70" s="79">
        <f t="shared" si="3"/>
        <v>0</v>
      </c>
    </row>
    <row r="71" spans="1:17" ht="12.75" hidden="1">
      <c r="A71" s="4" t="s">
        <v>132</v>
      </c>
      <c r="B71" s="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>
        <f t="shared" si="2"/>
        <v>0</v>
      </c>
      <c r="P71" s="21"/>
      <c r="Q71" s="79">
        <f t="shared" si="3"/>
        <v>0</v>
      </c>
    </row>
    <row r="72" spans="1:17" ht="12.75" hidden="1">
      <c r="A72" s="4" t="s">
        <v>64</v>
      </c>
      <c r="B72" s="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>
        <f t="shared" si="2"/>
        <v>0</v>
      </c>
      <c r="P72" s="21"/>
      <c r="Q72" s="79">
        <f t="shared" si="3"/>
        <v>0</v>
      </c>
    </row>
    <row r="73" spans="1:17" s="79" customFormat="1" ht="12.75">
      <c r="A73" s="1" t="s">
        <v>65</v>
      </c>
      <c r="B73" s="1"/>
      <c r="C73" s="21">
        <f>3327194+34928</f>
        <v>3362122</v>
      </c>
      <c r="D73" s="21"/>
      <c r="E73" s="21">
        <v>8494134</v>
      </c>
      <c r="F73" s="21"/>
      <c r="G73" s="21">
        <v>3740219</v>
      </c>
      <c r="H73" s="21"/>
      <c r="I73" s="21">
        <v>4824966</v>
      </c>
      <c r="J73" s="21"/>
      <c r="K73" s="21">
        <v>0</v>
      </c>
      <c r="L73" s="21"/>
      <c r="M73" s="21">
        <v>3669168</v>
      </c>
      <c r="N73" s="21"/>
      <c r="O73" s="21">
        <f t="shared" si="2"/>
        <v>3669168</v>
      </c>
      <c r="P73" s="21"/>
      <c r="Q73" s="79">
        <f t="shared" si="3"/>
        <v>0</v>
      </c>
    </row>
    <row r="74" spans="1:17" ht="12.75">
      <c r="A74" s="4" t="s">
        <v>66</v>
      </c>
      <c r="B74" s="4"/>
      <c r="C74" s="21">
        <f>2508057+34207</f>
        <v>2542264</v>
      </c>
      <c r="D74" s="21"/>
      <c r="E74" s="21">
        <v>4825901</v>
      </c>
      <c r="F74" s="21"/>
      <c r="G74" s="21">
        <v>1556925</v>
      </c>
      <c r="H74" s="21"/>
      <c r="I74" s="21">
        <v>1828864</v>
      </c>
      <c r="J74" s="21"/>
      <c r="K74" s="21">
        <v>64178</v>
      </c>
      <c r="L74" s="21"/>
      <c r="M74" s="21">
        <v>2932859</v>
      </c>
      <c r="N74" s="21"/>
      <c r="O74" s="21">
        <f t="shared" si="2"/>
        <v>2997037</v>
      </c>
      <c r="P74" s="21"/>
      <c r="Q74" s="79">
        <f t="shared" si="3"/>
        <v>0</v>
      </c>
    </row>
    <row r="75" spans="1:17" ht="12.75">
      <c r="A75" s="4" t="s">
        <v>67</v>
      </c>
      <c r="B75" s="4"/>
      <c r="C75" s="21">
        <f>6806711+96227</f>
        <v>6902938</v>
      </c>
      <c r="D75" s="21"/>
      <c r="E75" s="21">
        <v>24187994</v>
      </c>
      <c r="F75" s="21"/>
      <c r="G75" s="21">
        <v>7394659</v>
      </c>
      <c r="H75" s="21"/>
      <c r="I75" s="21">
        <v>9211320</v>
      </c>
      <c r="J75" s="21"/>
      <c r="K75" s="21">
        <f>293206+419000+416596+513020</f>
        <v>1641822</v>
      </c>
      <c r="L75" s="21"/>
      <c r="M75" s="21">
        <f>13334852</f>
        <v>13334852</v>
      </c>
      <c r="N75" s="21"/>
      <c r="O75" s="21">
        <f aca="true" t="shared" si="4" ref="O75:O97">+M75+K75</f>
        <v>14976674</v>
      </c>
      <c r="P75" s="21"/>
      <c r="Q75" s="79">
        <f aca="true" t="shared" si="5" ref="Q75:Q97">+E75-I75-O75</f>
        <v>0</v>
      </c>
    </row>
    <row r="76" spans="1:17" ht="12.75">
      <c r="A76" s="4" t="s">
        <v>68</v>
      </c>
      <c r="B76" s="4"/>
      <c r="C76" s="21">
        <f>1848094+5874</f>
        <v>1853968</v>
      </c>
      <c r="D76" s="21"/>
      <c r="E76" s="21">
        <v>5357539</v>
      </c>
      <c r="F76" s="21"/>
      <c r="G76" s="21">
        <v>2320181</v>
      </c>
      <c r="H76" s="21"/>
      <c r="I76" s="21">
        <v>3025830</v>
      </c>
      <c r="J76" s="21"/>
      <c r="K76" s="21">
        <v>183157</v>
      </c>
      <c r="L76" s="21"/>
      <c r="M76" s="21">
        <v>2148552</v>
      </c>
      <c r="N76" s="21"/>
      <c r="O76" s="21">
        <f>+M76+K76</f>
        <v>2331709</v>
      </c>
      <c r="P76" s="21"/>
      <c r="Q76" s="79">
        <f>+E76-I76-O76</f>
        <v>0</v>
      </c>
    </row>
    <row r="77" spans="1:17" ht="12.75" hidden="1">
      <c r="A77" s="4" t="s">
        <v>176</v>
      </c>
      <c r="B77" s="4"/>
      <c r="C77" s="21">
        <v>0</v>
      </c>
      <c r="D77" s="21"/>
      <c r="E77" s="21">
        <v>0</v>
      </c>
      <c r="F77" s="21"/>
      <c r="G77" s="21">
        <v>0</v>
      </c>
      <c r="H77" s="21"/>
      <c r="I77" s="21">
        <v>0</v>
      </c>
      <c r="J77" s="21"/>
      <c r="K77" s="21">
        <v>0</v>
      </c>
      <c r="L77" s="21"/>
      <c r="M77" s="21">
        <v>0</v>
      </c>
      <c r="N77" s="21"/>
      <c r="O77" s="21">
        <f>+M77+K77</f>
        <v>0</v>
      </c>
      <c r="P77" s="21"/>
      <c r="Q77" s="79">
        <f>+E77-I77-O77</f>
        <v>0</v>
      </c>
    </row>
    <row r="78" spans="1:17" ht="12.75">
      <c r="A78" s="4" t="s">
        <v>181</v>
      </c>
      <c r="B78" s="4"/>
      <c r="C78" s="21">
        <f>2751381+31060</f>
        <v>2782441</v>
      </c>
      <c r="D78" s="21"/>
      <c r="E78" s="21">
        <v>13786718</v>
      </c>
      <c r="F78" s="21"/>
      <c r="G78" s="21">
        <v>9036517</v>
      </c>
      <c r="H78" s="21"/>
      <c r="I78" s="21">
        <v>10739951</v>
      </c>
      <c r="J78" s="21"/>
      <c r="K78" s="21">
        <f>57911+442095</f>
        <v>500006</v>
      </c>
      <c r="L78" s="21"/>
      <c r="M78" s="21">
        <v>2546761</v>
      </c>
      <c r="N78" s="21"/>
      <c r="O78" s="21">
        <f>+M78+K78</f>
        <v>3046767</v>
      </c>
      <c r="P78" s="21"/>
      <c r="Q78" s="79">
        <f>+E78-I78-O78</f>
        <v>0</v>
      </c>
    </row>
    <row r="79" spans="1:17" ht="12.75">
      <c r="A79" s="4"/>
      <c r="B79" s="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79"/>
    </row>
    <row r="80" spans="1:17" ht="12.75">
      <c r="A80" s="4"/>
      <c r="B80" s="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 t="s">
        <v>261</v>
      </c>
      <c r="P80" s="21"/>
      <c r="Q80" s="79"/>
    </row>
    <row r="81" spans="1:17" s="100" customFormat="1" ht="12.75">
      <c r="A81" s="67" t="s">
        <v>69</v>
      </c>
      <c r="B81" s="67"/>
      <c r="C81" s="41">
        <f>1423949+35937</f>
        <v>1459886</v>
      </c>
      <c r="D81" s="41"/>
      <c r="E81" s="41">
        <v>7433984</v>
      </c>
      <c r="F81" s="41"/>
      <c r="G81" s="41">
        <v>868882</v>
      </c>
      <c r="H81" s="41"/>
      <c r="I81" s="41">
        <v>3621274</v>
      </c>
      <c r="J81" s="41"/>
      <c r="K81" s="41">
        <f>140637+121606+40000</f>
        <v>302243</v>
      </c>
      <c r="L81" s="41"/>
      <c r="M81" s="41">
        <f>3510467</f>
        <v>3510467</v>
      </c>
      <c r="N81" s="41"/>
      <c r="O81" s="41">
        <f t="shared" si="4"/>
        <v>3812710</v>
      </c>
      <c r="P81" s="41"/>
      <c r="Q81" s="100">
        <f t="shared" si="5"/>
        <v>0</v>
      </c>
    </row>
    <row r="82" spans="1:17" ht="12.75">
      <c r="A82" s="4" t="s">
        <v>98</v>
      </c>
      <c r="B82" s="4"/>
      <c r="C82" s="21">
        <v>3883106</v>
      </c>
      <c r="D82" s="21"/>
      <c r="E82" s="21">
        <v>10036341</v>
      </c>
      <c r="F82" s="21"/>
      <c r="G82" s="21">
        <v>3912143</v>
      </c>
      <c r="H82" s="21"/>
      <c r="I82" s="21">
        <v>4823548</v>
      </c>
      <c r="J82" s="21"/>
      <c r="K82" s="21">
        <f>9559+81231+138485+74000</f>
        <v>303275</v>
      </c>
      <c r="L82" s="21"/>
      <c r="M82" s="21">
        <v>4909518</v>
      </c>
      <c r="N82" s="21"/>
      <c r="O82" s="21">
        <f t="shared" si="4"/>
        <v>5212793</v>
      </c>
      <c r="P82" s="21"/>
      <c r="Q82" s="79">
        <f t="shared" si="5"/>
        <v>0</v>
      </c>
    </row>
    <row r="83" spans="1:17" ht="12.75">
      <c r="A83" s="4" t="s">
        <v>70</v>
      </c>
      <c r="B83" s="4"/>
      <c r="C83" s="21">
        <f>604541+6502</f>
        <v>611043</v>
      </c>
      <c r="D83" s="21"/>
      <c r="E83" s="21">
        <v>5038581</v>
      </c>
      <c r="F83" s="21"/>
      <c r="G83" s="21">
        <v>2327298</v>
      </c>
      <c r="H83" s="21"/>
      <c r="I83" s="21">
        <v>3799481</v>
      </c>
      <c r="J83" s="21"/>
      <c r="K83" s="21">
        <f>73445+178107+16652</f>
        <v>268204</v>
      </c>
      <c r="L83" s="21"/>
      <c r="M83" s="21">
        <f>970896</f>
        <v>970896</v>
      </c>
      <c r="N83" s="21"/>
      <c r="O83" s="21">
        <f t="shared" si="4"/>
        <v>1239100</v>
      </c>
      <c r="P83" s="21"/>
      <c r="Q83" s="79">
        <f t="shared" si="5"/>
        <v>0</v>
      </c>
    </row>
    <row r="84" spans="1:17" ht="12.75">
      <c r="A84" s="4" t="s">
        <v>71</v>
      </c>
      <c r="B84" s="4"/>
      <c r="C84" s="21">
        <v>2101145</v>
      </c>
      <c r="D84" s="21"/>
      <c r="E84" s="21">
        <v>7088506</v>
      </c>
      <c r="F84" s="21"/>
      <c r="G84" s="21">
        <v>2129151</v>
      </c>
      <c r="H84" s="21"/>
      <c r="I84" s="21">
        <v>2904093</v>
      </c>
      <c r="J84" s="21"/>
      <c r="K84" s="21">
        <v>623416</v>
      </c>
      <c r="L84" s="21"/>
      <c r="M84" s="21">
        <v>3560997</v>
      </c>
      <c r="N84" s="21"/>
      <c r="O84" s="21">
        <f t="shared" si="4"/>
        <v>4184413</v>
      </c>
      <c r="P84" s="21"/>
      <c r="Q84" s="79">
        <f t="shared" si="5"/>
        <v>0</v>
      </c>
    </row>
    <row r="85" spans="1:17" ht="12.75">
      <c r="A85" s="4" t="s">
        <v>72</v>
      </c>
      <c r="B85" s="4"/>
      <c r="C85" s="21">
        <f>1387477+6522</f>
        <v>1393999</v>
      </c>
      <c r="D85" s="21"/>
      <c r="E85" s="21">
        <v>5803037</v>
      </c>
      <c r="F85" s="21"/>
      <c r="G85" s="21">
        <v>3219418</v>
      </c>
      <c r="H85" s="21"/>
      <c r="I85" s="21">
        <v>3919612</v>
      </c>
      <c r="J85" s="21"/>
      <c r="K85" s="21">
        <f>79350+973+22500+61745</f>
        <v>164568</v>
      </c>
      <c r="L85" s="21"/>
      <c r="M85" s="21">
        <v>1718857</v>
      </c>
      <c r="N85" s="21"/>
      <c r="O85" s="21">
        <f t="shared" si="4"/>
        <v>1883425</v>
      </c>
      <c r="P85" s="21"/>
      <c r="Q85" s="79">
        <f t="shared" si="5"/>
        <v>0</v>
      </c>
    </row>
    <row r="86" spans="1:17" ht="12.75">
      <c r="A86" s="4" t="s">
        <v>73</v>
      </c>
      <c r="B86" s="4"/>
      <c r="C86" s="21">
        <f>11404803+435681+2296</f>
        <v>11842780</v>
      </c>
      <c r="D86" s="21"/>
      <c r="E86" s="21">
        <v>37857723</v>
      </c>
      <c r="F86" s="21"/>
      <c r="G86" s="21">
        <v>21454614</v>
      </c>
      <c r="H86" s="21"/>
      <c r="I86" s="21">
        <v>24395138</v>
      </c>
      <c r="J86" s="21"/>
      <c r="K86" s="21">
        <f>2548884+463273</f>
        <v>3012157</v>
      </c>
      <c r="L86" s="21"/>
      <c r="M86" s="21">
        <v>10450428</v>
      </c>
      <c r="N86" s="21"/>
      <c r="O86" s="21">
        <f t="shared" si="4"/>
        <v>13462585</v>
      </c>
      <c r="P86" s="21"/>
      <c r="Q86" s="79">
        <f t="shared" si="5"/>
        <v>0</v>
      </c>
    </row>
    <row r="87" spans="1:17" ht="12.75">
      <c r="A87" s="4" t="s">
        <v>74</v>
      </c>
      <c r="B87" s="4"/>
      <c r="C87" s="21">
        <f>67719252+387591</f>
        <v>68106843</v>
      </c>
      <c r="D87" s="21"/>
      <c r="E87" s="21">
        <v>113138170</v>
      </c>
      <c r="F87" s="21"/>
      <c r="G87" s="21">
        <v>33934205</v>
      </c>
      <c r="H87" s="21"/>
      <c r="I87" s="21">
        <v>38414272</v>
      </c>
      <c r="J87" s="21"/>
      <c r="K87" s="21">
        <f>8829681+177417</f>
        <v>9007098</v>
      </c>
      <c r="L87" s="21"/>
      <c r="M87" s="21">
        <v>65716800</v>
      </c>
      <c r="N87" s="21"/>
      <c r="O87" s="21">
        <f t="shared" si="4"/>
        <v>74723898</v>
      </c>
      <c r="P87" s="21"/>
      <c r="Q87" s="79">
        <f t="shared" si="5"/>
        <v>0</v>
      </c>
    </row>
    <row r="88" spans="1:17" ht="12.75">
      <c r="A88" s="4" t="s">
        <v>75</v>
      </c>
      <c r="B88" s="4"/>
      <c r="C88" s="21">
        <f>6973927+117932</f>
        <v>7091859</v>
      </c>
      <c r="D88" s="21"/>
      <c r="E88" s="21">
        <v>21438093</v>
      </c>
      <c r="F88" s="21"/>
      <c r="G88" s="21">
        <v>11119482</v>
      </c>
      <c r="H88" s="21"/>
      <c r="I88" s="21">
        <v>13208810</v>
      </c>
      <c r="J88" s="21"/>
      <c r="K88" s="21">
        <v>7438133</v>
      </c>
      <c r="L88" s="21"/>
      <c r="M88" s="21">
        <f>597384+193766</f>
        <v>791150</v>
      </c>
      <c r="N88" s="21"/>
      <c r="O88" s="21">
        <f t="shared" si="4"/>
        <v>8229283</v>
      </c>
      <c r="P88" s="21"/>
      <c r="Q88" s="79">
        <f t="shared" si="5"/>
        <v>0</v>
      </c>
    </row>
    <row r="89" spans="1:17" ht="12.75">
      <c r="A89" s="4" t="s">
        <v>76</v>
      </c>
      <c r="B89" s="4"/>
      <c r="C89" s="21">
        <f>12379497</f>
        <v>12379497</v>
      </c>
      <c r="D89" s="21"/>
      <c r="E89" s="21">
        <v>20968647</v>
      </c>
      <c r="F89" s="21"/>
      <c r="G89" s="21">
        <v>6450609</v>
      </c>
      <c r="H89" s="21"/>
      <c r="I89" s="21">
        <v>7065835</v>
      </c>
      <c r="J89" s="21"/>
      <c r="K89" s="21">
        <f>211260+61052+72062</f>
        <v>344374</v>
      </c>
      <c r="L89" s="21"/>
      <c r="M89" s="21">
        <v>13558438</v>
      </c>
      <c r="N89" s="21"/>
      <c r="O89" s="21">
        <f t="shared" si="4"/>
        <v>13902812</v>
      </c>
      <c r="P89" s="21"/>
      <c r="Q89" s="79">
        <f t="shared" si="5"/>
        <v>0</v>
      </c>
    </row>
    <row r="90" spans="1:17" ht="12.75">
      <c r="A90" s="4" t="s">
        <v>77</v>
      </c>
      <c r="B90" s="4"/>
      <c r="C90" s="21">
        <f>4971450+246522</f>
        <v>5217972</v>
      </c>
      <c r="D90" s="21"/>
      <c r="E90" s="21">
        <v>11998952</v>
      </c>
      <c r="F90" s="21"/>
      <c r="G90" s="21">
        <v>5393050</v>
      </c>
      <c r="H90" s="21"/>
      <c r="I90" s="21">
        <v>6062360</v>
      </c>
      <c r="J90" s="21"/>
      <c r="K90" s="21">
        <f>354595+106930+98326+285867</f>
        <v>845718</v>
      </c>
      <c r="L90" s="21"/>
      <c r="M90" s="21">
        <v>5090874</v>
      </c>
      <c r="N90" s="21"/>
      <c r="O90" s="21">
        <f t="shared" si="4"/>
        <v>5936592</v>
      </c>
      <c r="P90" s="21"/>
      <c r="Q90" s="79">
        <f t="shared" si="5"/>
        <v>0</v>
      </c>
    </row>
    <row r="91" spans="1:17" ht="12.75">
      <c r="A91" s="4" t="s">
        <v>78</v>
      </c>
      <c r="B91" s="4"/>
      <c r="C91" s="21">
        <f>602318+10126</f>
        <v>612444</v>
      </c>
      <c r="D91" s="21"/>
      <c r="E91" s="21">
        <v>3318351</v>
      </c>
      <c r="F91" s="21"/>
      <c r="G91" s="21">
        <v>1878329</v>
      </c>
      <c r="H91" s="21"/>
      <c r="I91" s="21">
        <v>2165434</v>
      </c>
      <c r="J91" s="21"/>
      <c r="K91" s="21">
        <f>11512+16000+10232</f>
        <v>37744</v>
      </c>
      <c r="L91" s="21"/>
      <c r="M91" s="21">
        <v>1115173</v>
      </c>
      <c r="N91" s="21"/>
      <c r="O91" s="21">
        <f t="shared" si="4"/>
        <v>1152917</v>
      </c>
      <c r="P91" s="21"/>
      <c r="Q91" s="79">
        <f t="shared" si="5"/>
        <v>0</v>
      </c>
    </row>
    <row r="92" spans="1:17" ht="12.75">
      <c r="A92" s="4" t="s">
        <v>79</v>
      </c>
      <c r="B92" s="4"/>
      <c r="C92" s="21">
        <v>55709</v>
      </c>
      <c r="D92" s="21"/>
      <c r="E92" s="21">
        <v>1228601</v>
      </c>
      <c r="F92" s="21"/>
      <c r="G92" s="21">
        <v>1049988</v>
      </c>
      <c r="H92" s="21"/>
      <c r="I92" s="21">
        <v>1137212</v>
      </c>
      <c r="J92" s="21"/>
      <c r="K92" s="21">
        <v>26565</v>
      </c>
      <c r="L92" s="21"/>
      <c r="M92" s="21">
        <v>64824</v>
      </c>
      <c r="N92" s="21"/>
      <c r="O92" s="21">
        <f t="shared" si="4"/>
        <v>91389</v>
      </c>
      <c r="P92" s="21"/>
      <c r="Q92" s="79">
        <f t="shared" si="5"/>
        <v>0</v>
      </c>
    </row>
    <row r="93" spans="1:17" ht="12.75">
      <c r="A93" s="4" t="s">
        <v>80</v>
      </c>
      <c r="B93" s="4"/>
      <c r="C93" s="21">
        <v>16954073</v>
      </c>
      <c r="D93" s="21"/>
      <c r="E93" s="21">
        <v>34211685</v>
      </c>
      <c r="F93" s="21"/>
      <c r="G93" s="21">
        <v>10925431</v>
      </c>
      <c r="H93" s="21"/>
      <c r="I93" s="21">
        <v>13241869</v>
      </c>
      <c r="J93" s="21"/>
      <c r="K93" s="21">
        <f>1158377+191157+13583</f>
        <v>1363117</v>
      </c>
      <c r="L93" s="21"/>
      <c r="M93" s="21">
        <v>19606699</v>
      </c>
      <c r="N93" s="21"/>
      <c r="O93" s="21">
        <f t="shared" si="4"/>
        <v>20969816</v>
      </c>
      <c r="P93" s="21"/>
      <c r="Q93" s="79">
        <f t="shared" si="5"/>
        <v>0</v>
      </c>
    </row>
    <row r="94" spans="1:17" ht="12.75">
      <c r="A94" s="4" t="s">
        <v>81</v>
      </c>
      <c r="B94" s="4"/>
      <c r="C94" s="21">
        <f>5843892+23145</f>
        <v>5867037</v>
      </c>
      <c r="D94" s="21"/>
      <c r="E94" s="21">
        <v>10994869</v>
      </c>
      <c r="F94" s="21"/>
      <c r="G94" s="21">
        <v>2853080</v>
      </c>
      <c r="H94" s="21"/>
      <c r="I94" s="21">
        <v>3720906</v>
      </c>
      <c r="J94" s="21"/>
      <c r="K94" s="21">
        <f>776633+110134</f>
        <v>886767</v>
      </c>
      <c r="L94" s="21"/>
      <c r="M94" s="21">
        <f>6387196</f>
        <v>6387196</v>
      </c>
      <c r="N94" s="21"/>
      <c r="O94" s="21">
        <f t="shared" si="4"/>
        <v>7273963</v>
      </c>
      <c r="P94" s="21"/>
      <c r="Q94" s="79">
        <f t="shared" si="5"/>
        <v>0</v>
      </c>
    </row>
    <row r="95" spans="1:17" ht="12.75">
      <c r="A95" s="4" t="s">
        <v>82</v>
      </c>
      <c r="B95" s="4"/>
      <c r="C95" s="21">
        <f>6529768+39534</f>
        <v>6569302</v>
      </c>
      <c r="D95" s="21"/>
      <c r="E95" s="21">
        <v>14476183</v>
      </c>
      <c r="F95" s="21"/>
      <c r="G95" s="21">
        <v>4982992</v>
      </c>
      <c r="H95" s="21"/>
      <c r="I95" s="21">
        <v>6314899</v>
      </c>
      <c r="J95" s="21"/>
      <c r="K95" s="21">
        <f>481262+130181+335805</f>
        <v>947248</v>
      </c>
      <c r="L95" s="21"/>
      <c r="M95" s="21">
        <f>400000+6814036</f>
        <v>7214036</v>
      </c>
      <c r="N95" s="21"/>
      <c r="O95" s="21">
        <f t="shared" si="4"/>
        <v>8161284</v>
      </c>
      <c r="P95" s="21"/>
      <c r="Q95" s="79">
        <f t="shared" si="5"/>
        <v>0</v>
      </c>
    </row>
    <row r="96" spans="1:17" ht="12.75" hidden="1">
      <c r="A96" s="4" t="s">
        <v>174</v>
      </c>
      <c r="B96" s="4"/>
      <c r="C96" s="21">
        <v>0</v>
      </c>
      <c r="D96" s="21"/>
      <c r="E96" s="21">
        <v>0</v>
      </c>
      <c r="F96" s="21"/>
      <c r="G96" s="21">
        <v>0</v>
      </c>
      <c r="H96" s="21"/>
      <c r="I96" s="21">
        <v>0</v>
      </c>
      <c r="J96" s="21"/>
      <c r="K96" s="21">
        <v>0</v>
      </c>
      <c r="L96" s="21"/>
      <c r="M96" s="21">
        <v>0</v>
      </c>
      <c r="N96" s="21"/>
      <c r="O96" s="21">
        <f t="shared" si="4"/>
        <v>0</v>
      </c>
      <c r="P96" s="21"/>
      <c r="Q96" s="79">
        <f t="shared" si="5"/>
        <v>0</v>
      </c>
    </row>
    <row r="97" spans="1:17" ht="12.75">
      <c r="A97" s="4" t="s">
        <v>83</v>
      </c>
      <c r="B97" s="4"/>
      <c r="C97" s="21">
        <f>12047424+84719</f>
        <v>12132143</v>
      </c>
      <c r="D97" s="21"/>
      <c r="E97" s="21">
        <v>24938700</v>
      </c>
      <c r="F97" s="21"/>
      <c r="G97" s="21">
        <v>9582647</v>
      </c>
      <c r="H97" s="21"/>
      <c r="I97" s="21">
        <v>11339266</v>
      </c>
      <c r="J97" s="21"/>
      <c r="K97" s="21">
        <f>1064825+95109+535616</f>
        <v>1695550</v>
      </c>
      <c r="L97" s="21"/>
      <c r="M97" s="21">
        <v>11903884</v>
      </c>
      <c r="N97" s="21"/>
      <c r="O97" s="21">
        <f t="shared" si="4"/>
        <v>13599434</v>
      </c>
      <c r="P97" s="21"/>
      <c r="Q97" s="79">
        <f t="shared" si="5"/>
        <v>0</v>
      </c>
    </row>
    <row r="98" spans="1:17" ht="12.75" hidden="1">
      <c r="A98" s="4" t="s">
        <v>175</v>
      </c>
      <c r="B98" s="4"/>
      <c r="C98" s="5">
        <v>849668</v>
      </c>
      <c r="D98" s="5"/>
      <c r="E98" s="5">
        <v>849668</v>
      </c>
      <c r="F98" s="5"/>
      <c r="G98" s="5">
        <v>0</v>
      </c>
      <c r="H98" s="5"/>
      <c r="I98" s="5">
        <v>0</v>
      </c>
      <c r="J98" s="5"/>
      <c r="K98" s="5">
        <v>0</v>
      </c>
      <c r="L98" s="5"/>
      <c r="M98" s="5">
        <v>849668</v>
      </c>
      <c r="N98" s="5"/>
      <c r="O98" s="21">
        <f>+M98+K98</f>
        <v>849668</v>
      </c>
      <c r="P98" s="5"/>
      <c r="Q98" s="79">
        <f>+E98-I98-O98</f>
        <v>0</v>
      </c>
    </row>
    <row r="99" spans="1:17" ht="12.75">
      <c r="A99" s="4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79">
        <f>+E99-I99-O99</f>
        <v>0</v>
      </c>
    </row>
    <row r="100" spans="1:16" ht="12.75">
      <c r="A100" s="4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5"/>
    </row>
  </sheetData>
  <printOptions/>
  <pageMargins left="1" right="1" top="0.5" bottom="0.5" header="0" footer="0.25"/>
  <pageSetup firstPageNumber="16" useFirstPageNumber="1" horizontalDpi="600" verticalDpi="600" orientation="portrait" pageOrder="overThenDown" scale="95" r:id="rId1"/>
  <headerFooter alignWithMargins="0">
    <oddFooter>&amp;C&amp;"Times New Roman,Regular"&amp;11&amp;P</oddFooter>
  </headerFooter>
  <rowBreaks count="1" manualBreakCount="1">
    <brk id="8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Q100"/>
  <sheetViews>
    <sheetView view="pageBreakPreview" zoomScaleSheetLayoutView="100" workbookViewId="0" topLeftCell="A1">
      <pane xSplit="1" ySplit="7" topLeftCell="B7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90" sqref="C90"/>
    </sheetView>
  </sheetViews>
  <sheetFormatPr defaultColWidth="9.140625" defaultRowHeight="12.75"/>
  <cols>
    <col min="1" max="1" width="20.7109375" style="78" customWidth="1"/>
    <col min="2" max="2" width="1.7109375" style="78" customWidth="1"/>
    <col min="3" max="3" width="13.7109375" style="6" customWidth="1"/>
    <col min="4" max="4" width="1.7109375" style="6" customWidth="1"/>
    <col min="5" max="5" width="13.7109375" style="6" customWidth="1"/>
    <col min="6" max="6" width="1.7109375" style="6" customWidth="1"/>
    <col min="7" max="7" width="13.7109375" style="6" customWidth="1"/>
    <col min="8" max="8" width="1.7109375" style="6" customWidth="1"/>
    <col min="9" max="9" width="13.7109375" style="6" customWidth="1"/>
    <col min="10" max="10" width="1.7109375" style="6" customWidth="1"/>
    <col min="11" max="11" width="13.7109375" style="6" customWidth="1"/>
    <col min="12" max="12" width="1.7109375" style="6" customWidth="1"/>
    <col min="13" max="13" width="13.7109375" style="6" customWidth="1"/>
    <col min="14" max="14" width="1.7109375" style="6" customWidth="1"/>
    <col min="15" max="15" width="13.7109375" style="6" customWidth="1"/>
    <col min="16" max="16" width="9.28125" style="78" bestFit="1" customWidth="1"/>
    <col min="17" max="17" width="17.7109375" style="78" bestFit="1" customWidth="1"/>
    <col min="18" max="16384" width="9.140625" style="78" customWidth="1"/>
  </cols>
  <sheetData>
    <row r="1" spans="1:16" ht="12.75">
      <c r="A1" s="36" t="s">
        <v>243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</row>
    <row r="2" spans="1:16" ht="12.75">
      <c r="A2" s="36" t="s">
        <v>247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6"/>
    </row>
    <row r="3" spans="1:16" ht="12.75">
      <c r="A3" s="28" t="s">
        <v>187</v>
      </c>
      <c r="B3" s="8"/>
      <c r="C3" s="9"/>
      <c r="D3" s="9"/>
      <c r="E3" s="9"/>
      <c r="F3" s="9"/>
      <c r="G3" s="9"/>
      <c r="H3" s="9"/>
      <c r="I3" s="9"/>
      <c r="J3" s="9"/>
      <c r="P3" s="18"/>
    </row>
    <row r="4" spans="1:16" ht="12.75">
      <c r="A4" s="76" t="s">
        <v>261</v>
      </c>
      <c r="B4" s="8"/>
      <c r="C4" s="9"/>
      <c r="D4" s="9"/>
      <c r="E4" s="9"/>
      <c r="F4" s="9"/>
      <c r="G4" s="9"/>
      <c r="H4" s="9"/>
      <c r="I4" s="9"/>
      <c r="J4" s="9"/>
      <c r="P4" s="18"/>
    </row>
    <row r="5" spans="1:16" ht="12.75">
      <c r="A5" s="28"/>
      <c r="B5" s="8"/>
      <c r="C5" s="9"/>
      <c r="D5" s="9"/>
      <c r="E5" s="9"/>
      <c r="F5" s="9"/>
      <c r="G5" s="9"/>
      <c r="H5" s="9"/>
      <c r="I5" s="9"/>
      <c r="J5" s="9"/>
      <c r="K5" s="9" t="s">
        <v>117</v>
      </c>
      <c r="L5" s="9"/>
      <c r="M5" s="9" t="s">
        <v>244</v>
      </c>
      <c r="N5" s="9"/>
      <c r="O5" s="9" t="s">
        <v>4</v>
      </c>
      <c r="P5" s="18"/>
    </row>
    <row r="6" spans="1:17" ht="12.75">
      <c r="A6" s="8"/>
      <c r="B6" s="8"/>
      <c r="C6" s="9" t="s">
        <v>118</v>
      </c>
      <c r="D6" s="9"/>
      <c r="E6" s="9" t="s">
        <v>4</v>
      </c>
      <c r="F6" s="9"/>
      <c r="G6" s="9" t="s">
        <v>119</v>
      </c>
      <c r="H6" s="9"/>
      <c r="I6" s="9" t="s">
        <v>4</v>
      </c>
      <c r="J6" s="9"/>
      <c r="K6" s="9" t="s">
        <v>120</v>
      </c>
      <c r="L6" s="9"/>
      <c r="M6" s="9" t="s">
        <v>120</v>
      </c>
      <c r="N6" s="9"/>
      <c r="O6" s="9" t="s">
        <v>120</v>
      </c>
      <c r="P6" s="18"/>
      <c r="Q6" s="11" t="s">
        <v>212</v>
      </c>
    </row>
    <row r="7" spans="1:16" s="80" customFormat="1" ht="12.75">
      <c r="A7" s="39" t="s">
        <v>5</v>
      </c>
      <c r="B7" s="8"/>
      <c r="C7" s="40" t="s">
        <v>121</v>
      </c>
      <c r="D7" s="9"/>
      <c r="E7" s="40" t="s">
        <v>116</v>
      </c>
      <c r="F7" s="9"/>
      <c r="G7" s="40" t="s">
        <v>11</v>
      </c>
      <c r="H7" s="9"/>
      <c r="I7" s="40" t="s">
        <v>122</v>
      </c>
      <c r="J7" s="9"/>
      <c r="K7" s="40" t="s">
        <v>123</v>
      </c>
      <c r="L7" s="9"/>
      <c r="M7" s="40" t="s">
        <v>123</v>
      </c>
      <c r="N7" s="9"/>
      <c r="O7" s="40" t="s">
        <v>123</v>
      </c>
      <c r="P7" s="18"/>
    </row>
    <row r="8" spans="1:16" s="80" customFormat="1" ht="12.75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8"/>
    </row>
    <row r="9" spans="1:17" ht="12.75" hidden="1">
      <c r="A9" s="76" t="s">
        <v>251</v>
      </c>
      <c r="B9" s="8"/>
      <c r="C9" s="41">
        <v>0</v>
      </c>
      <c r="D9" s="41"/>
      <c r="E9" s="41">
        <v>0</v>
      </c>
      <c r="F9" s="41"/>
      <c r="G9" s="41">
        <v>0</v>
      </c>
      <c r="H9" s="41"/>
      <c r="I9" s="41">
        <v>0</v>
      </c>
      <c r="J9" s="41"/>
      <c r="K9" s="41">
        <v>0</v>
      </c>
      <c r="L9" s="41"/>
      <c r="M9" s="41">
        <v>0</v>
      </c>
      <c r="N9" s="41"/>
      <c r="O9" s="41">
        <f>+M9+K9</f>
        <v>0</v>
      </c>
      <c r="P9" s="21"/>
      <c r="Q9" s="79">
        <f>+E9-I9-O9</f>
        <v>0</v>
      </c>
    </row>
    <row r="10" spans="1:17" ht="12.75">
      <c r="A10" s="4" t="s">
        <v>13</v>
      </c>
      <c r="B10" s="4"/>
      <c r="C10" s="41">
        <f>34447806+418570</f>
        <v>34866376</v>
      </c>
      <c r="D10" s="41"/>
      <c r="E10" s="41">
        <v>70326705</v>
      </c>
      <c r="F10" s="41"/>
      <c r="G10" s="41">
        <v>27408152</v>
      </c>
      <c r="H10" s="41"/>
      <c r="I10" s="41">
        <v>32784415</v>
      </c>
      <c r="J10" s="41"/>
      <c r="K10" s="41">
        <f>1004768+6341613+340020+860980</f>
        <v>8547381</v>
      </c>
      <c r="L10" s="41"/>
      <c r="M10" s="41">
        <f>2581012+18471290+1385841+6556766</f>
        <v>28994909</v>
      </c>
      <c r="N10" s="41"/>
      <c r="O10" s="41">
        <f>+M10+K10</f>
        <v>37542290</v>
      </c>
      <c r="P10" s="21"/>
      <c r="Q10" s="79">
        <f>+E10-I10-O10</f>
        <v>0</v>
      </c>
    </row>
    <row r="11" spans="1:17" ht="12.75">
      <c r="A11" s="4" t="s">
        <v>14</v>
      </c>
      <c r="B11" s="4"/>
      <c r="C11" s="21">
        <f>15256460+39542+47156</f>
        <v>15343158</v>
      </c>
      <c r="D11" s="21"/>
      <c r="E11" s="21">
        <v>28191800</v>
      </c>
      <c r="F11" s="21"/>
      <c r="G11" s="21">
        <v>105948995</v>
      </c>
      <c r="H11" s="21"/>
      <c r="I11" s="21">
        <v>12412587</v>
      </c>
      <c r="J11" s="21"/>
      <c r="K11" s="21">
        <f>47156+29536+835006</f>
        <v>911698</v>
      </c>
      <c r="L11" s="21"/>
      <c r="M11" s="21">
        <f>4074725+10083756+709034</f>
        <v>14867515</v>
      </c>
      <c r="N11" s="21"/>
      <c r="O11" s="21">
        <f aca="true" t="shared" si="0" ref="O11:O27">+M11+K11</f>
        <v>15779213</v>
      </c>
      <c r="P11" s="21"/>
      <c r="Q11" s="79">
        <f>+E11-I11-O11</f>
        <v>0</v>
      </c>
    </row>
    <row r="12" spans="1:17" ht="12.75">
      <c r="A12" s="4" t="s">
        <v>15</v>
      </c>
      <c r="B12" s="4"/>
      <c r="C12" s="21">
        <f>32768655+3212636</f>
        <v>35981291</v>
      </c>
      <c r="D12" s="21"/>
      <c r="E12" s="21">
        <v>65751326</v>
      </c>
      <c r="F12" s="21"/>
      <c r="G12" s="21">
        <v>25201333</v>
      </c>
      <c r="H12" s="21"/>
      <c r="I12" s="21">
        <v>29830026</v>
      </c>
      <c r="J12" s="21"/>
      <c r="K12" s="21">
        <f>2995064+90000+2434570</f>
        <v>5519634</v>
      </c>
      <c r="L12" s="21"/>
      <c r="M12" s="21">
        <f>4325634+24423605+748999+903428</f>
        <v>30401666</v>
      </c>
      <c r="N12" s="21"/>
      <c r="O12" s="21">
        <f t="shared" si="0"/>
        <v>35921300</v>
      </c>
      <c r="P12" s="21"/>
      <c r="Q12" s="79">
        <f>+E12-I12-O12</f>
        <v>0</v>
      </c>
    </row>
    <row r="13" spans="1:17" ht="12.75">
      <c r="A13" s="4" t="s">
        <v>16</v>
      </c>
      <c r="B13" s="4"/>
      <c r="C13" s="21">
        <f>18032945+77489</f>
        <v>18110434</v>
      </c>
      <c r="D13" s="21"/>
      <c r="E13" s="21">
        <v>34880315</v>
      </c>
      <c r="F13" s="21"/>
      <c r="G13" s="21">
        <v>12725305</v>
      </c>
      <c r="H13" s="21"/>
      <c r="I13" s="21">
        <v>14959605</v>
      </c>
      <c r="J13" s="21"/>
      <c r="K13" s="21">
        <f>631155+278296</f>
        <v>909451</v>
      </c>
      <c r="L13" s="21"/>
      <c r="M13" s="21">
        <f>2678362+14081921+7224+2243752</f>
        <v>19011259</v>
      </c>
      <c r="N13" s="21"/>
      <c r="O13" s="21">
        <f t="shared" si="0"/>
        <v>19920710</v>
      </c>
      <c r="P13" s="21"/>
      <c r="Q13" s="79">
        <f aca="true" t="shared" si="1" ref="Q13:Q27">+E13-I13-O13</f>
        <v>0</v>
      </c>
    </row>
    <row r="14" spans="1:17" ht="12.75">
      <c r="A14" s="4" t="s">
        <v>17</v>
      </c>
      <c r="B14" s="4"/>
      <c r="C14" s="21">
        <f>17359446+309686</f>
        <v>17669132</v>
      </c>
      <c r="D14" s="21"/>
      <c r="E14" s="21">
        <v>32551890</v>
      </c>
      <c r="F14" s="21"/>
      <c r="G14" s="21">
        <v>10285492</v>
      </c>
      <c r="H14" s="21"/>
      <c r="I14" s="21">
        <v>12810894</v>
      </c>
      <c r="J14" s="21"/>
      <c r="K14" s="21">
        <f>413078+974456</f>
        <v>1387534</v>
      </c>
      <c r="L14" s="21"/>
      <c r="M14" s="21">
        <f>4376645+8168854+300557+5507406</f>
        <v>18353462</v>
      </c>
      <c r="N14" s="21"/>
      <c r="O14" s="21">
        <f t="shared" si="0"/>
        <v>19740996</v>
      </c>
      <c r="P14" s="21"/>
      <c r="Q14" s="79">
        <f t="shared" si="1"/>
        <v>0</v>
      </c>
    </row>
    <row r="15" spans="1:17" ht="12.75">
      <c r="A15" s="4" t="s">
        <v>18</v>
      </c>
      <c r="B15" s="4"/>
      <c r="C15" s="21">
        <f>33042508+20368</f>
        <v>33062876</v>
      </c>
      <c r="D15" s="21"/>
      <c r="E15" s="21">
        <v>55287056</v>
      </c>
      <c r="F15" s="21"/>
      <c r="G15" s="21">
        <v>14277896</v>
      </c>
      <c r="H15" s="21"/>
      <c r="I15" s="21">
        <v>19618420</v>
      </c>
      <c r="J15" s="21"/>
      <c r="K15" s="21">
        <f>2442927+1239213+102587+471124</f>
        <v>4255851</v>
      </c>
      <c r="L15" s="21"/>
      <c r="M15" s="21">
        <f>845144+3562928+13384660+250491+13369562</f>
        <v>31412785</v>
      </c>
      <c r="N15" s="21"/>
      <c r="O15" s="21">
        <f t="shared" si="0"/>
        <v>35668636</v>
      </c>
      <c r="P15" s="21"/>
      <c r="Q15" s="79">
        <f t="shared" si="1"/>
        <v>0</v>
      </c>
    </row>
    <row r="16" spans="1:17" ht="12.75" hidden="1">
      <c r="A16" s="4" t="s">
        <v>254</v>
      </c>
      <c r="B16" s="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f t="shared" si="0"/>
        <v>0</v>
      </c>
      <c r="P16" s="21"/>
      <c r="Q16" s="79">
        <f t="shared" si="1"/>
        <v>0</v>
      </c>
    </row>
    <row r="17" spans="1:17" ht="12.75">
      <c r="A17" s="4" t="s">
        <v>178</v>
      </c>
      <c r="B17" s="4"/>
      <c r="C17" s="21">
        <f>105382718+508665+105896</f>
        <v>105997279</v>
      </c>
      <c r="D17" s="21"/>
      <c r="E17" s="21">
        <v>255022620</v>
      </c>
      <c r="F17" s="21"/>
      <c r="G17" s="21">
        <v>109367460</v>
      </c>
      <c r="H17" s="21"/>
      <c r="I17" s="21">
        <v>151785444</v>
      </c>
      <c r="J17" s="21"/>
      <c r="K17" s="21">
        <f>10642667+331860+4550000+36047+365202</f>
        <v>15925776</v>
      </c>
      <c r="L17" s="21"/>
      <c r="M17" s="21">
        <f>17729295+5262983+58872438+11120386-5673702</f>
        <v>87311400</v>
      </c>
      <c r="N17" s="21"/>
      <c r="O17" s="21">
        <f t="shared" si="0"/>
        <v>103237176</v>
      </c>
      <c r="P17" s="21"/>
      <c r="Q17" s="79">
        <f t="shared" si="1"/>
        <v>0</v>
      </c>
    </row>
    <row r="18" spans="1:17" ht="12.75">
      <c r="A18" s="4" t="s">
        <v>20</v>
      </c>
      <c r="B18" s="4"/>
      <c r="C18" s="21">
        <f>5172827+46131</f>
        <v>5218958</v>
      </c>
      <c r="D18" s="21"/>
      <c r="E18" s="21">
        <v>14223381</v>
      </c>
      <c r="F18" s="21"/>
      <c r="G18" s="21">
        <v>6854658</v>
      </c>
      <c r="H18" s="21"/>
      <c r="I18" s="21">
        <v>8119364</v>
      </c>
      <c r="J18" s="21"/>
      <c r="K18" s="21">
        <f>286408+82080+293530+8525+26491</f>
        <v>697034</v>
      </c>
      <c r="L18" s="21"/>
      <c r="M18" s="21">
        <f>892486+4320016+194481</f>
        <v>5406983</v>
      </c>
      <c r="N18" s="21"/>
      <c r="O18" s="21">
        <f t="shared" si="0"/>
        <v>6104017</v>
      </c>
      <c r="P18" s="21"/>
      <c r="Q18" s="79">
        <f t="shared" si="1"/>
        <v>0</v>
      </c>
    </row>
    <row r="19" spans="1:17" ht="12.75" hidden="1">
      <c r="A19" s="4" t="s">
        <v>172</v>
      </c>
      <c r="B19" s="4"/>
      <c r="C19" s="21">
        <v>0</v>
      </c>
      <c r="D19" s="21"/>
      <c r="E19" s="21">
        <v>0</v>
      </c>
      <c r="F19" s="21"/>
      <c r="G19" s="21">
        <v>0</v>
      </c>
      <c r="H19" s="21"/>
      <c r="I19" s="21">
        <v>0</v>
      </c>
      <c r="J19" s="21"/>
      <c r="K19" s="21">
        <v>0</v>
      </c>
      <c r="L19" s="21"/>
      <c r="M19" s="21">
        <v>0</v>
      </c>
      <c r="N19" s="21"/>
      <c r="O19" s="21">
        <f t="shared" si="0"/>
        <v>0</v>
      </c>
      <c r="P19" s="21"/>
      <c r="Q19" s="79">
        <f t="shared" si="1"/>
        <v>0</v>
      </c>
    </row>
    <row r="20" spans="1:17" ht="12.75">
      <c r="A20" s="4" t="s">
        <v>21</v>
      </c>
      <c r="B20" s="4"/>
      <c r="C20" s="21">
        <f>45140449+359295+160023</f>
        <v>45659767</v>
      </c>
      <c r="D20" s="21"/>
      <c r="E20" s="21">
        <v>96854476</v>
      </c>
      <c r="F20" s="21"/>
      <c r="G20" s="21">
        <v>47601367</v>
      </c>
      <c r="H20" s="21"/>
      <c r="I20" s="21">
        <v>73414138</v>
      </c>
      <c r="J20" s="21"/>
      <c r="K20" s="21">
        <f>12628993+140976+135668+74787</f>
        <v>12980424</v>
      </c>
      <c r="L20" s="21"/>
      <c r="M20" s="21">
        <f>8832443+4629094+56051-3112368+54694</f>
        <v>10459914</v>
      </c>
      <c r="N20" s="21"/>
      <c r="O20" s="21">
        <f t="shared" si="0"/>
        <v>23440338</v>
      </c>
      <c r="P20" s="21"/>
      <c r="Q20" s="79">
        <f t="shared" si="1"/>
        <v>0</v>
      </c>
    </row>
    <row r="21" spans="1:17" ht="12.75">
      <c r="A21" s="4" t="s">
        <v>184</v>
      </c>
      <c r="B21" s="4"/>
      <c r="C21" s="21">
        <f>57814298+4765</f>
        <v>57819063</v>
      </c>
      <c r="D21" s="21"/>
      <c r="E21" s="21">
        <v>109196024</v>
      </c>
      <c r="F21" s="21"/>
      <c r="G21" s="21">
        <v>45620974</v>
      </c>
      <c r="H21" s="21"/>
      <c r="I21" s="21">
        <v>53813436</v>
      </c>
      <c r="J21" s="21"/>
      <c r="K21" s="21">
        <f>5976198+73014+1364690+123720</f>
        <v>7537622</v>
      </c>
      <c r="L21" s="21"/>
      <c r="M21" s="21">
        <f>2300000+16590525+15027156+377878+13549407</f>
        <v>47844966</v>
      </c>
      <c r="N21" s="21"/>
      <c r="O21" s="21">
        <f t="shared" si="0"/>
        <v>55382588</v>
      </c>
      <c r="P21" s="21"/>
      <c r="Q21" s="79">
        <f t="shared" si="1"/>
        <v>0</v>
      </c>
    </row>
    <row r="22" spans="1:17" ht="12.75">
      <c r="A22" s="4" t="s">
        <v>22</v>
      </c>
      <c r="B22" s="4"/>
      <c r="C22" s="21">
        <v>10278646</v>
      </c>
      <c r="D22" s="21"/>
      <c r="E22" s="21">
        <v>22664997</v>
      </c>
      <c r="F22" s="21"/>
      <c r="G22" s="21">
        <v>9288811</v>
      </c>
      <c r="H22" s="21"/>
      <c r="I22" s="21">
        <v>12102678</v>
      </c>
      <c r="J22" s="21"/>
      <c r="K22" s="21">
        <f>494189+73130+21419+106269</f>
        <v>695007</v>
      </c>
      <c r="L22" s="21"/>
      <c r="M22" s="21">
        <f>2627407+6687750+497985+54170</f>
        <v>9867312</v>
      </c>
      <c r="N22" s="21"/>
      <c r="O22" s="21">
        <f>+M22+K22</f>
        <v>10562319</v>
      </c>
      <c r="P22" s="21"/>
      <c r="Q22" s="79">
        <f t="shared" si="1"/>
        <v>0</v>
      </c>
    </row>
    <row r="23" spans="1:17" ht="12.75" hidden="1">
      <c r="A23" s="4" t="s">
        <v>23</v>
      </c>
      <c r="B23" s="4"/>
      <c r="C23" s="21">
        <v>0</v>
      </c>
      <c r="D23" s="21"/>
      <c r="E23" s="21">
        <v>0</v>
      </c>
      <c r="F23" s="21"/>
      <c r="G23" s="21">
        <v>0</v>
      </c>
      <c r="H23" s="21"/>
      <c r="I23" s="21">
        <v>0</v>
      </c>
      <c r="J23" s="21"/>
      <c r="K23" s="21">
        <v>0</v>
      </c>
      <c r="L23" s="21"/>
      <c r="M23" s="21">
        <v>0</v>
      </c>
      <c r="N23" s="21"/>
      <c r="O23" s="21">
        <f t="shared" si="0"/>
        <v>0</v>
      </c>
      <c r="P23" s="21"/>
      <c r="Q23" s="79">
        <f t="shared" si="1"/>
        <v>0</v>
      </c>
    </row>
    <row r="24" spans="1:17" ht="12.75">
      <c r="A24" s="4" t="s">
        <v>24</v>
      </c>
      <c r="B24" s="4"/>
      <c r="C24" s="21">
        <v>9699357</v>
      </c>
      <c r="D24" s="21"/>
      <c r="E24" s="21">
        <v>20842997</v>
      </c>
      <c r="F24" s="21"/>
      <c r="G24" s="21">
        <v>9745144</v>
      </c>
      <c r="H24" s="21"/>
      <c r="I24" s="21">
        <v>11542191</v>
      </c>
      <c r="J24" s="21"/>
      <c r="K24" s="21">
        <f>2606423+75886+250319</f>
        <v>2932628</v>
      </c>
      <c r="L24" s="21"/>
      <c r="M24" s="21">
        <f>1398657+4383544+327885+258092</f>
        <v>6368178</v>
      </c>
      <c r="N24" s="21"/>
      <c r="O24" s="21">
        <f t="shared" si="0"/>
        <v>9300806</v>
      </c>
      <c r="P24" s="21"/>
      <c r="Q24" s="79">
        <f t="shared" si="1"/>
        <v>0</v>
      </c>
    </row>
    <row r="25" spans="1:17" ht="12.75">
      <c r="A25" s="4" t="s">
        <v>257</v>
      </c>
      <c r="B25" s="4"/>
      <c r="C25" s="21">
        <f>13599043+7143</f>
        <v>13606186</v>
      </c>
      <c r="D25" s="21"/>
      <c r="E25" s="21">
        <v>26345155</v>
      </c>
      <c r="F25" s="21"/>
      <c r="G25" s="21">
        <v>9613189</v>
      </c>
      <c r="H25" s="21"/>
      <c r="I25" s="21">
        <v>12551014</v>
      </c>
      <c r="J25" s="21"/>
      <c r="K25" s="21">
        <f>775096+358127</f>
        <v>1133223</v>
      </c>
      <c r="L25" s="21"/>
      <c r="M25" s="21">
        <f>4585069+7981721+145727-51599</f>
        <v>12660918</v>
      </c>
      <c r="N25" s="21"/>
      <c r="O25" s="21">
        <f t="shared" si="0"/>
        <v>13794141</v>
      </c>
      <c r="P25" s="21"/>
      <c r="Q25" s="79">
        <f t="shared" si="1"/>
        <v>0</v>
      </c>
    </row>
    <row r="26" spans="1:17" ht="12.75">
      <c r="A26" s="4" t="s">
        <v>25</v>
      </c>
      <c r="B26" s="4"/>
      <c r="C26" s="21">
        <f>275941000+31892000</f>
        <v>307833000</v>
      </c>
      <c r="D26" s="21"/>
      <c r="E26" s="21">
        <v>984148000</v>
      </c>
      <c r="F26" s="21"/>
      <c r="G26" s="21">
        <v>405829000</v>
      </c>
      <c r="H26" s="21"/>
      <c r="I26" s="21">
        <v>593258000</v>
      </c>
      <c r="J26" s="21"/>
      <c r="K26" s="21">
        <f>28411000+28063000+16848000</f>
        <v>73322000</v>
      </c>
      <c r="L26" s="21"/>
      <c r="M26" s="21">
        <f>832000+122825000+218333000-24422000</f>
        <v>317568000</v>
      </c>
      <c r="N26" s="21"/>
      <c r="O26" s="21">
        <f t="shared" si="0"/>
        <v>390890000</v>
      </c>
      <c r="P26" s="21"/>
      <c r="Q26" s="79">
        <f t="shared" si="1"/>
        <v>0</v>
      </c>
    </row>
    <row r="27" spans="1:17" ht="12.75">
      <c r="A27" s="4" t="s">
        <v>26</v>
      </c>
      <c r="B27" s="4"/>
      <c r="C27" s="21">
        <f>14135142+729612+10000</f>
        <v>14874754</v>
      </c>
      <c r="D27" s="21"/>
      <c r="E27" s="21">
        <v>28642165</v>
      </c>
      <c r="F27" s="21"/>
      <c r="G27" s="21">
        <v>9199522</v>
      </c>
      <c r="H27" s="21"/>
      <c r="I27" s="21">
        <v>14710183</v>
      </c>
      <c r="J27" s="21"/>
      <c r="K27" s="21">
        <f>394493+71994+368714+5692+619532+113256</f>
        <v>1573681</v>
      </c>
      <c r="L27" s="21"/>
      <c r="M27" s="21">
        <f>2149562+12942105-2733366</f>
        <v>12358301</v>
      </c>
      <c r="N27" s="21"/>
      <c r="O27" s="21">
        <f t="shared" si="0"/>
        <v>13931982</v>
      </c>
      <c r="P27" s="21"/>
      <c r="Q27" s="79">
        <f t="shared" si="1"/>
        <v>0</v>
      </c>
    </row>
    <row r="28" spans="1:17" ht="12.75">
      <c r="A28" s="4" t="s">
        <v>27</v>
      </c>
      <c r="B28" s="4"/>
      <c r="C28" s="21">
        <f>22597240+146401+2161</f>
        <v>22745802</v>
      </c>
      <c r="D28" s="21"/>
      <c r="E28" s="21">
        <v>40121216</v>
      </c>
      <c r="F28" s="21"/>
      <c r="G28" s="21">
        <v>13011511</v>
      </c>
      <c r="H28" s="21"/>
      <c r="I28" s="21">
        <v>17822734</v>
      </c>
      <c r="J28" s="21"/>
      <c r="K28" s="21">
        <f>431746+86009+564504+410162+1732837+208828+2489227</f>
        <v>5923313</v>
      </c>
      <c r="L28" s="21"/>
      <c r="M28" s="21">
        <f>42517+6963432+8424117-337708+1282811</f>
        <v>16375169</v>
      </c>
      <c r="N28" s="21"/>
      <c r="O28" s="21">
        <f aca="true" t="shared" si="2" ref="O28:O72">+M28+K28</f>
        <v>22298482</v>
      </c>
      <c r="P28" s="21"/>
      <c r="Q28" s="79">
        <f aca="true" t="shared" si="3" ref="Q28:Q72">+E28-I28-O28</f>
        <v>0</v>
      </c>
    </row>
    <row r="29" spans="1:17" ht="12.75">
      <c r="A29" s="4" t="s">
        <v>28</v>
      </c>
      <c r="B29" s="4"/>
      <c r="C29" s="21">
        <f>69522193+16153+8472205</f>
        <v>78010551</v>
      </c>
      <c r="D29" s="21"/>
      <c r="E29" s="21">
        <v>119349725</v>
      </c>
      <c r="F29" s="21"/>
      <c r="G29" s="21">
        <v>30964130</v>
      </c>
      <c r="H29" s="21"/>
      <c r="I29" s="21">
        <v>43233823</v>
      </c>
      <c r="J29" s="21"/>
      <c r="K29" s="21">
        <f>2754037+322406</f>
        <v>3076443</v>
      </c>
      <c r="L29" s="21"/>
      <c r="M29" s="21">
        <f>19895834+46444674+25879+6673072</f>
        <v>73039459</v>
      </c>
      <c r="N29" s="21"/>
      <c r="O29" s="21">
        <f t="shared" si="2"/>
        <v>76115902</v>
      </c>
      <c r="P29" s="21"/>
      <c r="Q29" s="79">
        <f t="shared" si="3"/>
        <v>0</v>
      </c>
    </row>
    <row r="30" spans="1:17" ht="12.75">
      <c r="A30" s="4" t="s">
        <v>29</v>
      </c>
      <c r="B30" s="4"/>
      <c r="C30" s="21">
        <v>23408673</v>
      </c>
      <c r="D30" s="21"/>
      <c r="E30" s="21">
        <v>46984674</v>
      </c>
      <c r="F30" s="21"/>
      <c r="G30" s="21">
        <v>18008597</v>
      </c>
      <c r="H30" s="21"/>
      <c r="I30" s="21">
        <v>20966333</v>
      </c>
      <c r="J30" s="21"/>
      <c r="K30" s="21">
        <f>115652+687501+235045+6401</f>
        <v>1044599</v>
      </c>
      <c r="L30" s="21"/>
      <c r="M30" s="21">
        <f>1187567+7934573+14774989+1076613</f>
        <v>24973742</v>
      </c>
      <c r="N30" s="21"/>
      <c r="O30" s="21">
        <f t="shared" si="2"/>
        <v>26018341</v>
      </c>
      <c r="P30" s="21"/>
      <c r="Q30" s="79">
        <f t="shared" si="3"/>
        <v>0</v>
      </c>
    </row>
    <row r="31" spans="1:17" ht="12.75">
      <c r="A31" s="4" t="s">
        <v>30</v>
      </c>
      <c r="B31" s="4"/>
      <c r="C31" s="21">
        <f>43309057+400794+251760</f>
        <v>43961611</v>
      </c>
      <c r="D31" s="21"/>
      <c r="E31" s="21">
        <v>84189769</v>
      </c>
      <c r="F31" s="21"/>
      <c r="G31" s="21">
        <v>32526605</v>
      </c>
      <c r="H31" s="21"/>
      <c r="I31" s="21">
        <v>39748792</v>
      </c>
      <c r="J31" s="21"/>
      <c r="K31" s="21">
        <f>3801565+251760+589233</f>
        <v>4642558</v>
      </c>
      <c r="L31" s="21"/>
      <c r="M31" s="21">
        <f>378278+13594684+23141674+605892+2077891</f>
        <v>39798419</v>
      </c>
      <c r="N31" s="21"/>
      <c r="O31" s="21">
        <f t="shared" si="2"/>
        <v>44440977</v>
      </c>
      <c r="P31" s="21"/>
      <c r="Q31" s="79">
        <f t="shared" si="3"/>
        <v>0</v>
      </c>
    </row>
    <row r="32" spans="1:17" ht="12.75" hidden="1">
      <c r="A32" s="4" t="s">
        <v>253</v>
      </c>
      <c r="B32" s="4"/>
      <c r="C32" s="21">
        <v>0</v>
      </c>
      <c r="D32" s="21"/>
      <c r="E32" s="21">
        <v>0</v>
      </c>
      <c r="F32" s="21"/>
      <c r="G32" s="21">
        <v>0</v>
      </c>
      <c r="H32" s="21"/>
      <c r="I32" s="21">
        <v>0</v>
      </c>
      <c r="J32" s="21"/>
      <c r="K32" s="21">
        <v>0</v>
      </c>
      <c r="L32" s="21"/>
      <c r="M32" s="21">
        <v>0</v>
      </c>
      <c r="N32" s="21"/>
      <c r="O32" s="21">
        <f t="shared" si="2"/>
        <v>0</v>
      </c>
      <c r="P32" s="21"/>
      <c r="Q32" s="79">
        <f t="shared" si="3"/>
        <v>0</v>
      </c>
    </row>
    <row r="33" spans="1:17" ht="12.75">
      <c r="A33" s="4" t="s">
        <v>32</v>
      </c>
      <c r="B33" s="4"/>
      <c r="C33" s="21">
        <f>479390000+1296000+2142000</f>
        <v>482828000</v>
      </c>
      <c r="D33" s="21"/>
      <c r="E33" s="21">
        <v>1144212000</v>
      </c>
      <c r="F33" s="21"/>
      <c r="G33" s="21">
        <v>143806000</v>
      </c>
      <c r="H33" s="21"/>
      <c r="I33" s="21">
        <v>669759000</v>
      </c>
      <c r="J33" s="21"/>
      <c r="K33" s="21">
        <f>13847000+1761000+4059000</f>
        <v>19667000</v>
      </c>
      <c r="L33" s="21"/>
      <c r="M33" s="21">
        <f>11750000+17598000+140226000+294466000+41000-9295000</f>
        <v>454786000</v>
      </c>
      <c r="N33" s="21"/>
      <c r="O33" s="21">
        <f t="shared" si="2"/>
        <v>474453000</v>
      </c>
      <c r="P33" s="21"/>
      <c r="Q33" s="79">
        <f t="shared" si="3"/>
        <v>0</v>
      </c>
    </row>
    <row r="34" spans="1:17" ht="12.75">
      <c r="A34" s="4" t="s">
        <v>33</v>
      </c>
      <c r="B34" s="4"/>
      <c r="C34" s="21">
        <f>16563480+251971</f>
        <v>16815451</v>
      </c>
      <c r="D34" s="21"/>
      <c r="E34" s="21">
        <v>35394767</v>
      </c>
      <c r="F34" s="21"/>
      <c r="G34" s="21">
        <v>14904249</v>
      </c>
      <c r="H34" s="21"/>
      <c r="I34" s="21">
        <v>16824269</v>
      </c>
      <c r="J34" s="21"/>
      <c r="K34" s="21">
        <f>1028091+129339+211105+185945+531025+23948+59904</f>
        <v>2169357</v>
      </c>
      <c r="L34" s="21"/>
      <c r="M34" s="21">
        <f>500000+3550185+11843661+507295</f>
        <v>16401141</v>
      </c>
      <c r="N34" s="21"/>
      <c r="O34" s="21">
        <f t="shared" si="2"/>
        <v>18570498</v>
      </c>
      <c r="P34" s="21"/>
      <c r="Q34" s="79">
        <f t="shared" si="3"/>
        <v>0</v>
      </c>
    </row>
    <row r="35" spans="1:17" ht="12.75">
      <c r="A35" s="4" t="s">
        <v>34</v>
      </c>
      <c r="B35" s="4"/>
      <c r="C35" s="21">
        <f>6631029+55991</f>
        <v>6687020</v>
      </c>
      <c r="D35" s="21"/>
      <c r="E35" s="21">
        <v>18006151</v>
      </c>
      <c r="F35" s="21"/>
      <c r="G35" s="21">
        <v>8134122</v>
      </c>
      <c r="H35" s="21"/>
      <c r="I35" s="21">
        <v>9553493</v>
      </c>
      <c r="J35" s="21"/>
      <c r="K35" s="21">
        <f>311326+72208+66403</f>
        <v>449937</v>
      </c>
      <c r="L35" s="21"/>
      <c r="M35" s="21">
        <f>1471334+5143694+1387693</f>
        <v>8002721</v>
      </c>
      <c r="N35" s="21"/>
      <c r="O35" s="21">
        <f t="shared" si="2"/>
        <v>8452658</v>
      </c>
      <c r="P35" s="21"/>
      <c r="Q35" s="79">
        <f t="shared" si="3"/>
        <v>0</v>
      </c>
    </row>
    <row r="36" spans="1:17" ht="12.75">
      <c r="A36" s="4" t="s">
        <v>35</v>
      </c>
      <c r="B36" s="4"/>
      <c r="C36" s="21">
        <f>33542524+54989+12</f>
        <v>33597525</v>
      </c>
      <c r="D36" s="21"/>
      <c r="E36" s="21">
        <v>79218231</v>
      </c>
      <c r="F36" s="21"/>
      <c r="G36" s="21">
        <v>39082964</v>
      </c>
      <c r="H36" s="21"/>
      <c r="I36" s="21">
        <v>52109433</v>
      </c>
      <c r="J36" s="21"/>
      <c r="K36" s="21">
        <f>2214390+3073238</f>
        <v>5287628</v>
      </c>
      <c r="L36" s="21"/>
      <c r="M36" s="21">
        <f>200000+5661568+16726894+1214584-1981876</f>
        <v>21821170</v>
      </c>
      <c r="N36" s="21"/>
      <c r="O36" s="21">
        <f t="shared" si="2"/>
        <v>27108798</v>
      </c>
      <c r="P36" s="21"/>
      <c r="Q36" s="79">
        <f t="shared" si="3"/>
        <v>0</v>
      </c>
    </row>
    <row r="37" spans="1:17" ht="12.75">
      <c r="A37" s="4" t="s">
        <v>233</v>
      </c>
      <c r="B37" s="4"/>
      <c r="C37" s="21">
        <f>47835113+103277</f>
        <v>47938390</v>
      </c>
      <c r="D37" s="21"/>
      <c r="E37" s="21">
        <v>98971303</v>
      </c>
      <c r="F37" s="21"/>
      <c r="G37" s="21">
        <v>43281428</v>
      </c>
      <c r="H37" s="21"/>
      <c r="I37" s="21">
        <v>63938053</v>
      </c>
      <c r="J37" s="21"/>
      <c r="K37" s="21">
        <f>6000131+86581+104512+1750000</f>
        <v>7941224</v>
      </c>
      <c r="L37" s="21"/>
      <c r="M37" s="21">
        <f>-4893323+31390070+595279</f>
        <v>27092026</v>
      </c>
      <c r="N37" s="21"/>
      <c r="O37" s="21">
        <f t="shared" si="2"/>
        <v>35033250</v>
      </c>
      <c r="P37" s="21"/>
      <c r="Q37" s="79">
        <f t="shared" si="3"/>
        <v>0</v>
      </c>
    </row>
    <row r="38" spans="1:17" ht="12.75" hidden="1">
      <c r="A38" s="4" t="s">
        <v>258</v>
      </c>
      <c r="B38" s="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>
        <f t="shared" si="2"/>
        <v>0</v>
      </c>
      <c r="P38" s="21"/>
      <c r="Q38" s="79">
        <f t="shared" si="3"/>
        <v>0</v>
      </c>
    </row>
    <row r="39" spans="1:17" ht="12.75" hidden="1">
      <c r="A39" s="4" t="s">
        <v>259</v>
      </c>
      <c r="B39" s="4"/>
      <c r="C39" s="21">
        <v>0</v>
      </c>
      <c r="D39" s="21"/>
      <c r="E39" s="21">
        <v>0</v>
      </c>
      <c r="F39" s="21"/>
      <c r="G39" s="21">
        <v>0</v>
      </c>
      <c r="H39" s="21"/>
      <c r="I39" s="21">
        <v>0</v>
      </c>
      <c r="J39" s="21"/>
      <c r="K39" s="21">
        <v>0</v>
      </c>
      <c r="L39" s="21"/>
      <c r="M39" s="21">
        <v>0</v>
      </c>
      <c r="N39" s="21"/>
      <c r="O39" s="21">
        <f>+M39+K39</f>
        <v>0</v>
      </c>
      <c r="P39" s="21"/>
      <c r="Q39" s="79">
        <f t="shared" si="3"/>
        <v>0</v>
      </c>
    </row>
    <row r="40" spans="1:17" ht="12.75">
      <c r="A40" s="4" t="s">
        <v>38</v>
      </c>
      <c r="B40" s="4"/>
      <c r="C40" s="21">
        <f>19202990+253181</f>
        <v>19456171</v>
      </c>
      <c r="D40" s="21"/>
      <c r="E40" s="21">
        <v>44841734</v>
      </c>
      <c r="F40" s="21"/>
      <c r="G40" s="21">
        <v>20650935</v>
      </c>
      <c r="H40" s="21"/>
      <c r="I40" s="21">
        <v>29584097</v>
      </c>
      <c r="J40" s="21"/>
      <c r="K40" s="21">
        <f>3534826+135349+247000</f>
        <v>3917175</v>
      </c>
      <c r="L40" s="21"/>
      <c r="M40" s="21">
        <f>5051916+8078076+662205-2563146+111411</f>
        <v>11340462</v>
      </c>
      <c r="N40" s="21"/>
      <c r="O40" s="21">
        <f>+M40+K40</f>
        <v>15257637</v>
      </c>
      <c r="P40" s="21"/>
      <c r="Q40" s="79">
        <f t="shared" si="3"/>
        <v>0</v>
      </c>
    </row>
    <row r="41" spans="1:17" ht="12.75" hidden="1">
      <c r="A41" s="4" t="s">
        <v>168</v>
      </c>
      <c r="B41" s="4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>
        <f t="shared" si="2"/>
        <v>0</v>
      </c>
      <c r="P41" s="21"/>
      <c r="Q41" s="79">
        <f t="shared" si="3"/>
        <v>0</v>
      </c>
    </row>
    <row r="42" spans="1:17" ht="12.75" hidden="1">
      <c r="A42" s="4" t="s">
        <v>39</v>
      </c>
      <c r="B42" s="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>
        <f t="shared" si="2"/>
        <v>0</v>
      </c>
      <c r="P42" s="21"/>
      <c r="Q42" s="79">
        <f t="shared" si="3"/>
        <v>0</v>
      </c>
    </row>
    <row r="43" spans="1:17" ht="12.75">
      <c r="A43" s="4" t="s">
        <v>40</v>
      </c>
      <c r="B43" s="4"/>
      <c r="C43" s="21">
        <f>11748905+27466</f>
        <v>11776371</v>
      </c>
      <c r="D43" s="21"/>
      <c r="E43" s="21">
        <v>24993537</v>
      </c>
      <c r="F43" s="21"/>
      <c r="G43" s="21">
        <v>9728443</v>
      </c>
      <c r="H43" s="21"/>
      <c r="I43" s="21">
        <v>10791731</v>
      </c>
      <c r="J43" s="21"/>
      <c r="K43" s="21">
        <f>78043+157796+148845+1246994+1271</f>
        <v>1632949</v>
      </c>
      <c r="L43" s="21"/>
      <c r="M43" s="21">
        <f>3147154+8828352+180731+412620</f>
        <v>12568857</v>
      </c>
      <c r="N43" s="21"/>
      <c r="O43" s="21">
        <f t="shared" si="2"/>
        <v>14201806</v>
      </c>
      <c r="P43" s="21"/>
      <c r="Q43" s="79">
        <f t="shared" si="3"/>
        <v>0</v>
      </c>
    </row>
    <row r="44" spans="1:17" ht="12.75" hidden="1">
      <c r="A44" s="4" t="s">
        <v>41</v>
      </c>
      <c r="B44" s="4"/>
      <c r="C44" s="21">
        <v>0</v>
      </c>
      <c r="D44" s="21"/>
      <c r="E44" s="21">
        <v>0</v>
      </c>
      <c r="F44" s="21"/>
      <c r="G44" s="21">
        <v>0</v>
      </c>
      <c r="H44" s="21"/>
      <c r="I44" s="21">
        <v>0</v>
      </c>
      <c r="J44" s="21"/>
      <c r="K44" s="21">
        <v>0</v>
      </c>
      <c r="L44" s="21"/>
      <c r="M44" s="21">
        <v>0</v>
      </c>
      <c r="N44" s="21"/>
      <c r="O44" s="21">
        <f t="shared" si="2"/>
        <v>0</v>
      </c>
      <c r="P44" s="21"/>
      <c r="Q44" s="79">
        <f t="shared" si="3"/>
        <v>0</v>
      </c>
    </row>
    <row r="45" spans="1:17" ht="12.75">
      <c r="A45" s="4" t="s">
        <v>42</v>
      </c>
      <c r="B45" s="4"/>
      <c r="C45" s="21">
        <v>9408777</v>
      </c>
      <c r="D45" s="21"/>
      <c r="E45" s="21">
        <v>19943755</v>
      </c>
      <c r="F45" s="21"/>
      <c r="G45" s="21">
        <v>7772146</v>
      </c>
      <c r="H45" s="21"/>
      <c r="I45" s="21">
        <v>8632856</v>
      </c>
      <c r="J45" s="21"/>
      <c r="K45" s="21">
        <v>487705</v>
      </c>
      <c r="L45" s="21"/>
      <c r="M45" s="21">
        <f>2397628+8125229+103657+196680</f>
        <v>10823194</v>
      </c>
      <c r="N45" s="21"/>
      <c r="O45" s="21">
        <f t="shared" si="2"/>
        <v>11310899</v>
      </c>
      <c r="P45" s="21"/>
      <c r="Q45" s="79">
        <f t="shared" si="3"/>
        <v>0</v>
      </c>
    </row>
    <row r="46" spans="1:17" ht="12.75">
      <c r="A46" s="4" t="s">
        <v>43</v>
      </c>
      <c r="B46" s="4"/>
      <c r="C46" s="21">
        <f>9783739+188054</f>
        <v>9971793</v>
      </c>
      <c r="D46" s="21"/>
      <c r="E46" s="21">
        <v>20615868</v>
      </c>
      <c r="F46" s="21"/>
      <c r="G46" s="21">
        <v>8189198</v>
      </c>
      <c r="H46" s="21"/>
      <c r="I46" s="21">
        <v>9457496</v>
      </c>
      <c r="J46" s="21"/>
      <c r="K46" s="21">
        <f>20124+63839+659265+55000+170910</f>
        <v>969138</v>
      </c>
      <c r="L46" s="21"/>
      <c r="M46" s="21">
        <f>250000+1568665+7919265+451304</f>
        <v>10189234</v>
      </c>
      <c r="N46" s="21"/>
      <c r="O46" s="21">
        <f t="shared" si="2"/>
        <v>11158372</v>
      </c>
      <c r="P46" s="21"/>
      <c r="Q46" s="79">
        <f t="shared" si="3"/>
        <v>0</v>
      </c>
    </row>
    <row r="47" spans="1:17" ht="12.75">
      <c r="A47" s="4" t="s">
        <v>44</v>
      </c>
      <c r="B47" s="4"/>
      <c r="C47" s="21">
        <v>11484372</v>
      </c>
      <c r="D47" s="21"/>
      <c r="E47" s="21">
        <v>21845848</v>
      </c>
      <c r="F47" s="21"/>
      <c r="G47" s="21">
        <v>6338905</v>
      </c>
      <c r="H47" s="21"/>
      <c r="I47" s="21">
        <v>8481845</v>
      </c>
      <c r="J47" s="21"/>
      <c r="K47" s="21">
        <f>657556+299412</f>
        <v>956968</v>
      </c>
      <c r="L47" s="21"/>
      <c r="M47" s="21">
        <f>3215321+8916103+12+275599</f>
        <v>12407035</v>
      </c>
      <c r="N47" s="21"/>
      <c r="O47" s="21">
        <f t="shared" si="2"/>
        <v>13364003</v>
      </c>
      <c r="P47" s="21"/>
      <c r="Q47" s="79">
        <f t="shared" si="3"/>
        <v>0</v>
      </c>
    </row>
    <row r="48" spans="1:17" ht="12.75" hidden="1">
      <c r="A48" s="4" t="s">
        <v>255</v>
      </c>
      <c r="B48" s="4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>
        <f t="shared" si="2"/>
        <v>0</v>
      </c>
      <c r="P48" s="21"/>
      <c r="Q48" s="79">
        <f t="shared" si="3"/>
        <v>0</v>
      </c>
    </row>
    <row r="49" spans="1:17" ht="12.75">
      <c r="A49" s="4" t="s">
        <v>46</v>
      </c>
      <c r="B49" s="4"/>
      <c r="C49" s="21">
        <f>10551790+831993+224428+519411+954732</f>
        <v>13082354</v>
      </c>
      <c r="D49" s="21"/>
      <c r="E49" s="21">
        <v>46874815</v>
      </c>
      <c r="F49" s="21"/>
      <c r="G49" s="21">
        <v>20731399</v>
      </c>
      <c r="H49" s="21"/>
      <c r="I49" s="21">
        <v>29578627</v>
      </c>
      <c r="J49" s="21"/>
      <c r="K49" s="21">
        <f>43577+954732+519411</f>
        <v>1517720</v>
      </c>
      <c r="L49" s="21"/>
      <c r="M49" s="21">
        <f>42459+2946670+10098283+2271789+419267</f>
        <v>15778468</v>
      </c>
      <c r="N49" s="21"/>
      <c r="O49" s="21">
        <f t="shared" si="2"/>
        <v>17296188</v>
      </c>
      <c r="P49" s="21"/>
      <c r="Q49" s="79">
        <f t="shared" si="3"/>
        <v>0</v>
      </c>
    </row>
    <row r="50" spans="1:17" ht="12.75">
      <c r="A50" s="4" t="s">
        <v>47</v>
      </c>
      <c r="B50" s="4"/>
      <c r="C50" s="21">
        <f>15469778+105036</f>
        <v>15574814</v>
      </c>
      <c r="D50" s="21"/>
      <c r="E50" s="21">
        <v>30521868</v>
      </c>
      <c r="F50" s="21"/>
      <c r="G50" s="21">
        <v>12698805</v>
      </c>
      <c r="H50" s="21"/>
      <c r="I50" s="21">
        <v>14643976</v>
      </c>
      <c r="J50" s="21"/>
      <c r="K50" s="21">
        <f>1346766+399769+655888+89764+38492+200000</f>
        <v>2730679</v>
      </c>
      <c r="L50" s="21"/>
      <c r="M50" s="21">
        <f>1988947+10746680+411586</f>
        <v>13147213</v>
      </c>
      <c r="N50" s="21"/>
      <c r="O50" s="21">
        <f t="shared" si="2"/>
        <v>15877892</v>
      </c>
      <c r="P50" s="21"/>
      <c r="Q50" s="79">
        <f t="shared" si="3"/>
        <v>0</v>
      </c>
    </row>
    <row r="51" spans="1:17" ht="12.75">
      <c r="A51" s="4" t="s">
        <v>48</v>
      </c>
      <c r="B51" s="4"/>
      <c r="C51" s="21">
        <v>95813689</v>
      </c>
      <c r="D51" s="21"/>
      <c r="E51" s="21">
        <v>181033047</v>
      </c>
      <c r="F51" s="21"/>
      <c r="G51" s="21">
        <v>60628219</v>
      </c>
      <c r="H51" s="21"/>
      <c r="I51" s="21">
        <v>72717482</v>
      </c>
      <c r="J51" s="21"/>
      <c r="K51" s="21">
        <f>3242252+660973+277301+2042837+3773375+45658+1991188+218797</f>
        <v>12252381</v>
      </c>
      <c r="L51" s="21"/>
      <c r="M51" s="21">
        <f>22077960+63934852+10050372</f>
        <v>96063184</v>
      </c>
      <c r="N51" s="21"/>
      <c r="O51" s="21">
        <f t="shared" si="2"/>
        <v>108315565</v>
      </c>
      <c r="P51" s="21"/>
      <c r="Q51" s="79">
        <f t="shared" si="3"/>
        <v>0</v>
      </c>
    </row>
    <row r="52" spans="1:17" ht="12.75" hidden="1">
      <c r="A52" s="4" t="s">
        <v>170</v>
      </c>
      <c r="B52" s="4"/>
      <c r="C52" s="21">
        <v>0</v>
      </c>
      <c r="D52" s="21"/>
      <c r="E52" s="21">
        <v>0</v>
      </c>
      <c r="F52" s="21"/>
      <c r="G52" s="21">
        <v>0</v>
      </c>
      <c r="H52" s="21"/>
      <c r="I52" s="21">
        <v>0</v>
      </c>
      <c r="J52" s="21"/>
      <c r="K52" s="21">
        <v>0</v>
      </c>
      <c r="L52" s="21"/>
      <c r="M52" s="21">
        <v>0</v>
      </c>
      <c r="N52" s="21"/>
      <c r="O52" s="21">
        <f t="shared" si="2"/>
        <v>0</v>
      </c>
      <c r="P52" s="21"/>
      <c r="Q52" s="79">
        <f t="shared" si="3"/>
        <v>0</v>
      </c>
    </row>
    <row r="53" spans="1:17" ht="12.75">
      <c r="A53" s="4" t="s">
        <v>49</v>
      </c>
      <c r="B53" s="4"/>
      <c r="C53" s="21">
        <f>31188605+97588+3969600</f>
        <v>35255793</v>
      </c>
      <c r="D53" s="21"/>
      <c r="E53" s="21">
        <v>73400187</v>
      </c>
      <c r="F53" s="21"/>
      <c r="G53" s="21">
        <v>27945391</v>
      </c>
      <c r="H53" s="21"/>
      <c r="I53" s="21">
        <v>34360230</v>
      </c>
      <c r="J53" s="21"/>
      <c r="K53" s="21">
        <f>1545853+166450+243357+3833888+3006449</f>
        <v>8795997</v>
      </c>
      <c r="L53" s="21"/>
      <c r="M53" s="21">
        <f>12673345+17834205-263590</f>
        <v>30243960</v>
      </c>
      <c r="N53" s="21"/>
      <c r="O53" s="21">
        <f t="shared" si="2"/>
        <v>39039957</v>
      </c>
      <c r="P53" s="21"/>
      <c r="Q53" s="79">
        <f t="shared" si="3"/>
        <v>0</v>
      </c>
    </row>
    <row r="54" spans="1:17" ht="12.75">
      <c r="A54" s="4" t="s">
        <v>50</v>
      </c>
      <c r="B54" s="4"/>
      <c r="C54" s="21">
        <v>16508620</v>
      </c>
      <c r="D54" s="21"/>
      <c r="E54" s="21">
        <v>30235877</v>
      </c>
      <c r="F54" s="21"/>
      <c r="G54" s="21">
        <v>11346335</v>
      </c>
      <c r="H54" s="21"/>
      <c r="I54" s="21">
        <v>13678861</v>
      </c>
      <c r="J54" s="21"/>
      <c r="K54" s="21">
        <f>1142042+487938+169813</f>
        <v>1799793</v>
      </c>
      <c r="L54" s="21"/>
      <c r="M54" s="21">
        <f>2271627+12251165+234431</f>
        <v>14757223</v>
      </c>
      <c r="N54" s="21"/>
      <c r="O54" s="21">
        <f t="shared" si="2"/>
        <v>16557016</v>
      </c>
      <c r="P54" s="21"/>
      <c r="Q54" s="79">
        <f t="shared" si="3"/>
        <v>0</v>
      </c>
    </row>
    <row r="55" spans="1:17" ht="12.75">
      <c r="A55" s="4" t="s">
        <v>260</v>
      </c>
      <c r="B55" s="4"/>
      <c r="C55" s="21">
        <f>110493266+256792+303491</f>
        <v>111053549</v>
      </c>
      <c r="D55" s="21"/>
      <c r="E55" s="21">
        <v>224458572</v>
      </c>
      <c r="F55" s="21"/>
      <c r="G55" s="21">
        <v>73450924</v>
      </c>
      <c r="H55" s="21"/>
      <c r="I55" s="21">
        <v>112440777</v>
      </c>
      <c r="J55" s="21"/>
      <c r="K55" s="21">
        <f>13417509+1178074+13324174+744418+3820357</f>
        <v>32484532</v>
      </c>
      <c r="L55" s="21"/>
      <c r="M55" s="21">
        <f>20363189+75809555-3705173-12934308</f>
        <v>79533263</v>
      </c>
      <c r="N55" s="21"/>
      <c r="O55" s="21">
        <f t="shared" si="2"/>
        <v>112017795</v>
      </c>
      <c r="P55" s="21"/>
      <c r="Q55" s="79">
        <f t="shared" si="3"/>
        <v>0</v>
      </c>
    </row>
    <row r="56" spans="1:17" ht="12.75">
      <c r="A56" s="4" t="s">
        <v>186</v>
      </c>
      <c r="B56" s="4"/>
      <c r="C56" s="21">
        <f>9742000+148793000</f>
        <v>158535000</v>
      </c>
      <c r="D56" s="21"/>
      <c r="E56" s="21">
        <v>359632000</v>
      </c>
      <c r="F56" s="21"/>
      <c r="G56" s="21">
        <v>159937000</v>
      </c>
      <c r="H56" s="21"/>
      <c r="I56" s="21">
        <v>189352000</v>
      </c>
      <c r="J56" s="21"/>
      <c r="K56" s="21">
        <f>27775000+689000+24000+5140000</f>
        <v>33628000</v>
      </c>
      <c r="L56" s="21"/>
      <c r="M56" s="21">
        <f>40597000+86249000+9806000</f>
        <v>136652000</v>
      </c>
      <c r="N56" s="21"/>
      <c r="O56" s="21">
        <f t="shared" si="2"/>
        <v>170280000</v>
      </c>
      <c r="P56" s="21"/>
      <c r="Q56" s="79">
        <f t="shared" si="3"/>
        <v>0</v>
      </c>
    </row>
    <row r="57" spans="1:17" ht="12.75" hidden="1">
      <c r="A57" s="4" t="s">
        <v>52</v>
      </c>
      <c r="B57" s="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>
        <f t="shared" si="2"/>
        <v>0</v>
      </c>
      <c r="P57" s="21"/>
      <c r="Q57" s="79">
        <f t="shared" si="3"/>
        <v>0</v>
      </c>
    </row>
    <row r="58" spans="1:17" ht="12.75">
      <c r="A58" s="4" t="s">
        <v>53</v>
      </c>
      <c r="B58" s="4"/>
      <c r="C58" s="21">
        <f>68476554+526665+361958</f>
        <v>69365177</v>
      </c>
      <c r="D58" s="21"/>
      <c r="E58" s="21">
        <v>139522861</v>
      </c>
      <c r="F58" s="21"/>
      <c r="G58" s="21">
        <v>47781288</v>
      </c>
      <c r="H58" s="21"/>
      <c r="I58" s="21">
        <v>61705726</v>
      </c>
      <c r="J58" s="21"/>
      <c r="K58" s="21">
        <f>11433378+162636+1482849</f>
        <v>13078863</v>
      </c>
      <c r="L58" s="21"/>
      <c r="M58" s="21">
        <f>6778937+46435140+894742+10629453</f>
        <v>64738272</v>
      </c>
      <c r="N58" s="21"/>
      <c r="O58" s="21">
        <f t="shared" si="2"/>
        <v>77817135</v>
      </c>
      <c r="P58" s="21"/>
      <c r="Q58" s="79">
        <f t="shared" si="3"/>
        <v>0</v>
      </c>
    </row>
    <row r="59" spans="1:17" ht="12.75">
      <c r="A59" s="4" t="s">
        <v>54</v>
      </c>
      <c r="B59" s="4"/>
      <c r="C59" s="21">
        <f>23698334+26732</f>
        <v>23725066</v>
      </c>
      <c r="D59" s="21"/>
      <c r="E59" s="21">
        <v>41828260</v>
      </c>
      <c r="F59" s="21"/>
      <c r="G59" s="21">
        <v>14644174</v>
      </c>
      <c r="H59" s="21"/>
      <c r="I59" s="21">
        <v>18426295</v>
      </c>
      <c r="J59" s="21"/>
      <c r="K59" s="21">
        <f>1304402+736059+98062</f>
        <v>2138523</v>
      </c>
      <c r="L59" s="21"/>
      <c r="M59" s="21">
        <f>5960120+13197834+777115+1328373</f>
        <v>21263442</v>
      </c>
      <c r="N59" s="21"/>
      <c r="O59" s="21">
        <f t="shared" si="2"/>
        <v>23401965</v>
      </c>
      <c r="P59" s="21"/>
      <c r="Q59" s="79">
        <f t="shared" si="3"/>
        <v>0</v>
      </c>
    </row>
    <row r="60" spans="1:17" ht="12.75">
      <c r="A60" s="4" t="s">
        <v>55</v>
      </c>
      <c r="B60" s="4"/>
      <c r="C60" s="21">
        <f>43402964+2880+676</f>
        <v>43406520</v>
      </c>
      <c r="D60" s="21"/>
      <c r="E60" s="21">
        <v>88252273</v>
      </c>
      <c r="F60" s="21"/>
      <c r="G60" s="21">
        <v>31372393</v>
      </c>
      <c r="H60" s="21"/>
      <c r="I60" s="21">
        <v>37865296</v>
      </c>
      <c r="J60" s="21"/>
      <c r="K60" s="21">
        <f>3222038+124903</f>
        <v>3346941</v>
      </c>
      <c r="L60" s="21"/>
      <c r="M60" s="21">
        <f>12891533+32698318+815977+634208</f>
        <v>47040036</v>
      </c>
      <c r="N60" s="21"/>
      <c r="O60" s="21">
        <f t="shared" si="2"/>
        <v>50386977</v>
      </c>
      <c r="P60" s="21"/>
      <c r="Q60" s="79">
        <f t="shared" si="3"/>
        <v>0</v>
      </c>
    </row>
    <row r="61" spans="1:17" ht="12.75" hidden="1">
      <c r="A61" s="4" t="s">
        <v>171</v>
      </c>
      <c r="B61" s="4"/>
      <c r="C61" s="21">
        <v>0</v>
      </c>
      <c r="D61" s="21"/>
      <c r="E61" s="21">
        <v>0</v>
      </c>
      <c r="F61" s="21"/>
      <c r="G61" s="21">
        <v>0</v>
      </c>
      <c r="H61" s="21"/>
      <c r="I61" s="21">
        <v>0</v>
      </c>
      <c r="J61" s="21"/>
      <c r="K61" s="21">
        <v>0</v>
      </c>
      <c r="L61" s="21"/>
      <c r="M61" s="21">
        <v>0</v>
      </c>
      <c r="N61" s="21"/>
      <c r="O61" s="21">
        <f t="shared" si="2"/>
        <v>0</v>
      </c>
      <c r="P61" s="21"/>
      <c r="Q61" s="79">
        <f t="shared" si="3"/>
        <v>0</v>
      </c>
    </row>
    <row r="62" spans="1:17" ht="12.75" hidden="1">
      <c r="A62" s="4" t="s">
        <v>56</v>
      </c>
      <c r="B62" s="4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>
        <f t="shared" si="2"/>
        <v>0</v>
      </c>
      <c r="P62" s="21"/>
      <c r="Q62" s="79">
        <f t="shared" si="3"/>
        <v>0</v>
      </c>
    </row>
    <row r="63" spans="1:17" ht="12.75">
      <c r="A63" s="4" t="s">
        <v>57</v>
      </c>
      <c r="B63" s="4"/>
      <c r="C63" s="21">
        <f>30606194+1722294+10612868</f>
        <v>42941356</v>
      </c>
      <c r="D63" s="21"/>
      <c r="E63" s="21">
        <v>71410825</v>
      </c>
      <c r="F63" s="21"/>
      <c r="G63" s="21">
        <v>21391336</v>
      </c>
      <c r="H63" s="21"/>
      <c r="I63" s="21">
        <v>24545220</v>
      </c>
      <c r="J63" s="21"/>
      <c r="K63" s="21">
        <f>2829796+209973+257987+130076+680622+154166</f>
        <v>4262620</v>
      </c>
      <c r="L63" s="21"/>
      <c r="M63" s="21">
        <f>15754138+23224956+3623891</f>
        <v>42602985</v>
      </c>
      <c r="N63" s="21"/>
      <c r="O63" s="21">
        <f>+M63+K63</f>
        <v>46865605</v>
      </c>
      <c r="P63" s="21"/>
      <c r="Q63" s="79">
        <f>+E63-I63-O63</f>
        <v>0</v>
      </c>
    </row>
    <row r="64" spans="1:17" ht="12.75">
      <c r="A64" s="4" t="s">
        <v>58</v>
      </c>
      <c r="B64" s="4"/>
      <c r="C64" s="21">
        <f>4465903+243986+128861</f>
        <v>4838750</v>
      </c>
      <c r="D64" s="21"/>
      <c r="E64" s="21">
        <v>11155875</v>
      </c>
      <c r="F64" s="21"/>
      <c r="G64" s="21">
        <v>4182914</v>
      </c>
      <c r="H64" s="21"/>
      <c r="I64" s="21">
        <v>6048977</v>
      </c>
      <c r="J64" s="21"/>
      <c r="K64" s="21">
        <f>284266+128861+274581</f>
        <v>687708</v>
      </c>
      <c r="L64" s="21"/>
      <c r="M64" s="21">
        <f>374808+3942984+101398</f>
        <v>4419190</v>
      </c>
      <c r="N64" s="21"/>
      <c r="O64" s="21">
        <f t="shared" si="2"/>
        <v>5106898</v>
      </c>
      <c r="P64" s="21"/>
      <c r="Q64" s="79">
        <f t="shared" si="3"/>
        <v>0</v>
      </c>
    </row>
    <row r="65" spans="1:17" ht="12.75">
      <c r="A65" s="4" t="s">
        <v>59</v>
      </c>
      <c r="B65" s="4"/>
      <c r="C65" s="21">
        <f>249721502+7399093</f>
        <v>257120595</v>
      </c>
      <c r="D65" s="21"/>
      <c r="E65" s="21">
        <v>480971026</v>
      </c>
      <c r="F65" s="21"/>
      <c r="G65" s="21">
        <v>166924527</v>
      </c>
      <c r="H65" s="21"/>
      <c r="I65" s="21">
        <v>219831703</v>
      </c>
      <c r="J65" s="21"/>
      <c r="K65" s="21">
        <f>55182727+1095282</f>
        <v>56278009</v>
      </c>
      <c r="L65" s="21"/>
      <c r="M65" s="21">
        <f>47919115+115032387+41909812</f>
        <v>204861314</v>
      </c>
      <c r="N65" s="21"/>
      <c r="O65" s="21">
        <f t="shared" si="2"/>
        <v>261139323</v>
      </c>
      <c r="P65" s="21"/>
      <c r="Q65" s="79">
        <f t="shared" si="3"/>
        <v>0</v>
      </c>
    </row>
    <row r="66" spans="1:17" ht="12.75" hidden="1">
      <c r="A66" s="4" t="s">
        <v>60</v>
      </c>
      <c r="B66" s="4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>
        <f t="shared" si="2"/>
        <v>0</v>
      </c>
      <c r="P66" s="21"/>
      <c r="Q66" s="79">
        <f t="shared" si="3"/>
        <v>0</v>
      </c>
    </row>
    <row r="67" spans="1:17" ht="12.75">
      <c r="A67" s="4" t="s">
        <v>97</v>
      </c>
      <c r="B67" s="4"/>
      <c r="C67" s="21">
        <f>7942677</f>
        <v>7942677</v>
      </c>
      <c r="D67" s="21"/>
      <c r="E67" s="21">
        <v>17856128</v>
      </c>
      <c r="F67" s="21"/>
      <c r="G67" s="21">
        <v>6392975</v>
      </c>
      <c r="H67" s="21"/>
      <c r="I67" s="21">
        <v>7779957</v>
      </c>
      <c r="J67" s="21"/>
      <c r="K67" s="21">
        <f>1275827+44604+1078582+215585+1001845+62885</f>
        <v>3679328</v>
      </c>
      <c r="L67" s="21"/>
      <c r="M67" s="21">
        <f>1112767+4337709+946367</f>
        <v>6396843</v>
      </c>
      <c r="N67" s="21"/>
      <c r="O67" s="21">
        <f t="shared" si="2"/>
        <v>10076171</v>
      </c>
      <c r="P67" s="21"/>
      <c r="Q67" s="79">
        <f t="shared" si="3"/>
        <v>0</v>
      </c>
    </row>
    <row r="68" spans="1:17" ht="12.75">
      <c r="A68" s="4" t="s">
        <v>61</v>
      </c>
      <c r="B68" s="4"/>
      <c r="C68" s="21">
        <f>32392546+1252916+1607500</f>
        <v>35252962</v>
      </c>
      <c r="D68" s="21"/>
      <c r="E68" s="21">
        <v>64219578</v>
      </c>
      <c r="F68" s="21"/>
      <c r="G68" s="21">
        <v>23885702</v>
      </c>
      <c r="H68" s="21"/>
      <c r="I68" s="21">
        <v>28634588</v>
      </c>
      <c r="J68" s="21"/>
      <c r="K68" s="21">
        <v>3834718</v>
      </c>
      <c r="L68" s="21"/>
      <c r="M68" s="21">
        <f>10640274+18631150+466926+2011922</f>
        <v>31750272</v>
      </c>
      <c r="N68" s="21"/>
      <c r="O68" s="21">
        <f t="shared" si="2"/>
        <v>35584990</v>
      </c>
      <c r="P68" s="21"/>
      <c r="Q68" s="79">
        <f t="shared" si="3"/>
        <v>0</v>
      </c>
    </row>
    <row r="69" spans="1:17" ht="12.75">
      <c r="A69" s="4" t="s">
        <v>62</v>
      </c>
      <c r="B69" s="4"/>
      <c r="C69" s="21">
        <f>4500260+819+222858+19218</f>
        <v>4743155</v>
      </c>
      <c r="D69" s="21"/>
      <c r="E69" s="21">
        <v>9359523</v>
      </c>
      <c r="F69" s="21"/>
      <c r="G69" s="21">
        <v>3360229</v>
      </c>
      <c r="H69" s="21"/>
      <c r="I69" s="21">
        <v>4399329</v>
      </c>
      <c r="J69" s="21"/>
      <c r="K69" s="21">
        <f>159999+19218+11475</f>
        <v>190692</v>
      </c>
      <c r="L69" s="21"/>
      <c r="M69" s="21">
        <f>669062+3766155+216687+117598</f>
        <v>4769502</v>
      </c>
      <c r="N69" s="21"/>
      <c r="O69" s="21">
        <f t="shared" si="2"/>
        <v>4960194</v>
      </c>
      <c r="P69" s="21"/>
      <c r="Q69" s="79">
        <f t="shared" si="3"/>
        <v>0</v>
      </c>
    </row>
    <row r="70" spans="1:17" ht="12.75">
      <c r="A70" s="4" t="s">
        <v>63</v>
      </c>
      <c r="B70" s="4"/>
      <c r="C70" s="21">
        <f>17629482+82015</f>
        <v>17711497</v>
      </c>
      <c r="D70" s="21"/>
      <c r="E70" s="21">
        <v>57295789</v>
      </c>
      <c r="F70" s="21"/>
      <c r="G70" s="21">
        <v>34273567</v>
      </c>
      <c r="H70" s="21"/>
      <c r="I70" s="21">
        <v>35717558</v>
      </c>
      <c r="J70" s="21"/>
      <c r="K70" s="21">
        <f>2057442+64078+1098265+1540415</f>
        <v>4760200</v>
      </c>
      <c r="L70" s="21"/>
      <c r="M70" s="21">
        <f>3490154+11513743+1814134</f>
        <v>16818031</v>
      </c>
      <c r="N70" s="21"/>
      <c r="O70" s="21">
        <f t="shared" si="2"/>
        <v>21578231</v>
      </c>
      <c r="P70" s="21"/>
      <c r="Q70" s="79">
        <f t="shared" si="3"/>
        <v>0</v>
      </c>
    </row>
    <row r="71" spans="1:17" ht="12.75" hidden="1">
      <c r="A71" s="4" t="s">
        <v>132</v>
      </c>
      <c r="B71" s="4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>
        <f t="shared" si="2"/>
        <v>0</v>
      </c>
      <c r="P71" s="21"/>
      <c r="Q71" s="79">
        <f t="shared" si="3"/>
        <v>0</v>
      </c>
    </row>
    <row r="72" spans="1:17" ht="12.75" hidden="1">
      <c r="A72" s="4" t="s">
        <v>64</v>
      </c>
      <c r="B72" s="4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>
        <f t="shared" si="2"/>
        <v>0</v>
      </c>
      <c r="P72" s="21"/>
      <c r="Q72" s="79">
        <f t="shared" si="3"/>
        <v>0</v>
      </c>
    </row>
    <row r="73" spans="1:17" s="79" customFormat="1" ht="12.75">
      <c r="A73" s="1" t="s">
        <v>65</v>
      </c>
      <c r="B73" s="1"/>
      <c r="C73" s="21">
        <f>11400420+72585</f>
        <v>11473005</v>
      </c>
      <c r="D73" s="21"/>
      <c r="E73" s="21">
        <v>23377035</v>
      </c>
      <c r="F73" s="21"/>
      <c r="G73" s="21">
        <v>9642830</v>
      </c>
      <c r="H73" s="21"/>
      <c r="I73" s="21">
        <v>12182218</v>
      </c>
      <c r="J73" s="21"/>
      <c r="K73" s="21">
        <f>281466+98164</f>
        <v>379630</v>
      </c>
      <c r="L73" s="21"/>
      <c r="M73" s="21">
        <f>3669168+6702115+443904</f>
        <v>10815187</v>
      </c>
      <c r="N73" s="21"/>
      <c r="O73" s="21">
        <f aca="true" t="shared" si="4" ref="O73:O78">+M73+K73</f>
        <v>11194817</v>
      </c>
      <c r="P73" s="21"/>
      <c r="Q73" s="79">
        <f aca="true" t="shared" si="5" ref="Q73:Q78">+E73-I73-O73</f>
        <v>0</v>
      </c>
    </row>
    <row r="74" spans="1:17" ht="12.75">
      <c r="A74" s="4" t="s">
        <v>66</v>
      </c>
      <c r="B74" s="4"/>
      <c r="C74" s="21">
        <f>11074017+35864</f>
        <v>11109881</v>
      </c>
      <c r="D74" s="21"/>
      <c r="E74" s="21">
        <v>20584015</v>
      </c>
      <c r="F74" s="21"/>
      <c r="G74" s="21">
        <v>5494423</v>
      </c>
      <c r="H74" s="21"/>
      <c r="I74" s="21">
        <v>8434025</v>
      </c>
      <c r="J74" s="21"/>
      <c r="K74" s="21">
        <f>744440+1371741</f>
        <v>2116181</v>
      </c>
      <c r="L74" s="21"/>
      <c r="M74" s="21">
        <f>2932859+6877111+223839</f>
        <v>10033809</v>
      </c>
      <c r="N74" s="21"/>
      <c r="O74" s="21">
        <f t="shared" si="4"/>
        <v>12149990</v>
      </c>
      <c r="P74" s="21"/>
      <c r="Q74" s="79">
        <f t="shared" si="5"/>
        <v>0</v>
      </c>
    </row>
    <row r="75" spans="1:17" ht="12.75">
      <c r="A75" s="4" t="s">
        <v>67</v>
      </c>
      <c r="B75" s="4"/>
      <c r="C75" s="21">
        <f>41756894+1311096</f>
        <v>43067990</v>
      </c>
      <c r="D75" s="21"/>
      <c r="E75" s="21">
        <v>108247380</v>
      </c>
      <c r="F75" s="21"/>
      <c r="G75" s="21">
        <v>49624860</v>
      </c>
      <c r="H75" s="21"/>
      <c r="I75" s="21">
        <v>59053136</v>
      </c>
      <c r="J75" s="21"/>
      <c r="K75" s="21">
        <f>3683857+419000+4793181+513020</f>
        <v>9409058</v>
      </c>
      <c r="L75" s="21"/>
      <c r="M75" s="21">
        <f>13334852+25707506+555568+187260</f>
        <v>39785186</v>
      </c>
      <c r="N75" s="21"/>
      <c r="O75" s="21">
        <f t="shared" si="4"/>
        <v>49194244</v>
      </c>
      <c r="P75" s="21"/>
      <c r="Q75" s="79">
        <f t="shared" si="5"/>
        <v>0</v>
      </c>
    </row>
    <row r="76" spans="1:17" ht="12.75">
      <c r="A76" s="4" t="s">
        <v>68</v>
      </c>
      <c r="B76" s="4"/>
      <c r="C76" s="21">
        <f>7959376+105709+603645</f>
        <v>8668730</v>
      </c>
      <c r="D76" s="21"/>
      <c r="E76" s="21">
        <v>19447178</v>
      </c>
      <c r="F76" s="21"/>
      <c r="G76" s="21">
        <v>8191776</v>
      </c>
      <c r="H76" s="21"/>
      <c r="I76" s="21">
        <v>10193662</v>
      </c>
      <c r="J76" s="21"/>
      <c r="K76" s="21">
        <v>1371442</v>
      </c>
      <c r="L76" s="21"/>
      <c r="M76" s="21">
        <f>2148552+5145766+441188+146568</f>
        <v>7882074</v>
      </c>
      <c r="N76" s="21"/>
      <c r="O76" s="21">
        <f t="shared" si="4"/>
        <v>9253516</v>
      </c>
      <c r="P76" s="21"/>
      <c r="Q76" s="79">
        <f t="shared" si="5"/>
        <v>0</v>
      </c>
    </row>
    <row r="77" spans="1:17" ht="12.75" hidden="1">
      <c r="A77" s="4" t="s">
        <v>176</v>
      </c>
      <c r="B77" s="4"/>
      <c r="C77" s="21">
        <v>0</v>
      </c>
      <c r="D77" s="21"/>
      <c r="E77" s="21">
        <v>0</v>
      </c>
      <c r="F77" s="21"/>
      <c r="G77" s="21">
        <v>0</v>
      </c>
      <c r="H77" s="21"/>
      <c r="I77" s="21">
        <v>0</v>
      </c>
      <c r="J77" s="21"/>
      <c r="K77" s="21">
        <v>0</v>
      </c>
      <c r="L77" s="21"/>
      <c r="M77" s="21">
        <v>0</v>
      </c>
      <c r="N77" s="21"/>
      <c r="O77" s="21">
        <f t="shared" si="4"/>
        <v>0</v>
      </c>
      <c r="P77" s="21"/>
      <c r="Q77" s="79">
        <f t="shared" si="5"/>
        <v>0</v>
      </c>
    </row>
    <row r="78" spans="1:17" ht="12.75">
      <c r="A78" s="4" t="s">
        <v>181</v>
      </c>
      <c r="B78" s="4"/>
      <c r="C78" s="21">
        <f>48470293+88843</f>
        <v>48559136</v>
      </c>
      <c r="D78" s="21"/>
      <c r="E78" s="21">
        <v>98198931</v>
      </c>
      <c r="F78" s="21"/>
      <c r="G78" s="21">
        <v>44127822</v>
      </c>
      <c r="H78" s="21"/>
      <c r="I78" s="21">
        <v>62746996</v>
      </c>
      <c r="J78" s="21"/>
      <c r="K78" s="21">
        <f>765040+343036+442095</f>
        <v>1550171</v>
      </c>
      <c r="L78" s="21"/>
      <c r="M78" s="21">
        <f>100314+2546761+32437200-7517-1174994</f>
        <v>33901764</v>
      </c>
      <c r="N78" s="21"/>
      <c r="O78" s="21">
        <f t="shared" si="4"/>
        <v>35451935</v>
      </c>
      <c r="P78" s="21"/>
      <c r="Q78" s="79">
        <f t="shared" si="5"/>
        <v>0</v>
      </c>
    </row>
    <row r="79" spans="1:17" ht="12.75">
      <c r="A79" s="4"/>
      <c r="B79" s="4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79"/>
    </row>
    <row r="80" spans="1:17" ht="12.75">
      <c r="A80" s="4"/>
      <c r="B80" s="4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 t="s">
        <v>235</v>
      </c>
      <c r="P80" s="21"/>
      <c r="Q80" s="79"/>
    </row>
    <row r="81" spans="1:17" s="100" customFormat="1" ht="12.75">
      <c r="A81" s="67" t="s">
        <v>69</v>
      </c>
      <c r="B81" s="67"/>
      <c r="C81" s="41">
        <f>6992807+371418</f>
        <v>7364225</v>
      </c>
      <c r="D81" s="41"/>
      <c r="E81" s="41">
        <v>24422259</v>
      </c>
      <c r="F81" s="41"/>
      <c r="G81" s="41">
        <v>3401989</v>
      </c>
      <c r="H81" s="41"/>
      <c r="I81" s="41">
        <v>16896049</v>
      </c>
      <c r="J81" s="41"/>
      <c r="K81" s="41">
        <f>844038+130281+40000+11151</f>
        <v>1025470</v>
      </c>
      <c r="L81" s="41"/>
      <c r="M81" s="41">
        <f>3510467+2589123+397428+3722</f>
        <v>6500740</v>
      </c>
      <c r="N81" s="41"/>
      <c r="O81" s="41">
        <f aca="true" t="shared" si="6" ref="O81:O97">+M81+K81</f>
        <v>7526210</v>
      </c>
      <c r="P81" s="41"/>
      <c r="Q81" s="100">
        <f aca="true" t="shared" si="7" ref="Q81:Q97">+E81-I81-O81</f>
        <v>0</v>
      </c>
    </row>
    <row r="82" spans="1:17" ht="12.75">
      <c r="A82" s="4" t="s">
        <v>98</v>
      </c>
      <c r="B82" s="4"/>
      <c r="C82" s="21">
        <v>22241066</v>
      </c>
      <c r="D82" s="21"/>
      <c r="E82" s="21">
        <v>38214963</v>
      </c>
      <c r="F82" s="21"/>
      <c r="G82" s="21">
        <v>11588125</v>
      </c>
      <c r="H82" s="21"/>
      <c r="I82" s="21">
        <v>15260632</v>
      </c>
      <c r="J82" s="21"/>
      <c r="K82" s="21">
        <f>628110+82773+412203+76719+107160</f>
        <v>1306965</v>
      </c>
      <c r="L82" s="21"/>
      <c r="M82" s="21">
        <f>4909518+13533228+916928+2287692</f>
        <v>21647366</v>
      </c>
      <c r="N82" s="21"/>
      <c r="O82" s="21">
        <f t="shared" si="6"/>
        <v>22954331</v>
      </c>
      <c r="P82" s="21"/>
      <c r="Q82" s="79">
        <f t="shared" si="7"/>
        <v>0</v>
      </c>
    </row>
    <row r="83" spans="1:17" ht="12.75">
      <c r="A83" s="4" t="s">
        <v>70</v>
      </c>
      <c r="B83" s="4"/>
      <c r="C83" s="21">
        <f>11818590+97120</f>
        <v>11915710</v>
      </c>
      <c r="D83" s="21"/>
      <c r="E83" s="21">
        <v>29246457</v>
      </c>
      <c r="F83" s="21"/>
      <c r="G83" s="21">
        <v>10873053</v>
      </c>
      <c r="H83" s="21"/>
      <c r="I83" s="21">
        <v>15558652</v>
      </c>
      <c r="J83" s="21"/>
      <c r="K83" s="21">
        <f>943149+178107+630810+16652+267616</f>
        <v>2036334</v>
      </c>
      <c r="L83" s="21"/>
      <c r="M83" s="21">
        <f>970896+9616517+185468+878590</f>
        <v>11651471</v>
      </c>
      <c r="N83" s="21"/>
      <c r="O83" s="21">
        <f t="shared" si="6"/>
        <v>13687805</v>
      </c>
      <c r="P83" s="21"/>
      <c r="Q83" s="79">
        <f t="shared" si="7"/>
        <v>0</v>
      </c>
    </row>
    <row r="84" spans="1:17" ht="12.75">
      <c r="A84" s="4" t="s">
        <v>71</v>
      </c>
      <c r="B84" s="4"/>
      <c r="C84" s="21">
        <v>16737091</v>
      </c>
      <c r="D84" s="21"/>
      <c r="E84" s="21">
        <v>32910512</v>
      </c>
      <c r="F84" s="21"/>
      <c r="G84" s="21">
        <v>11456069</v>
      </c>
      <c r="H84" s="21"/>
      <c r="I84" s="21">
        <v>14313591</v>
      </c>
      <c r="J84" s="21"/>
      <c r="K84" s="21">
        <f>2482499+104915</f>
        <v>2587414</v>
      </c>
      <c r="L84" s="21"/>
      <c r="M84" s="21">
        <f>3560997+12785241+19964-356695</f>
        <v>16009507</v>
      </c>
      <c r="N84" s="21"/>
      <c r="O84" s="21">
        <f t="shared" si="6"/>
        <v>18596921</v>
      </c>
      <c r="P84" s="21"/>
      <c r="Q84" s="79">
        <f t="shared" si="7"/>
        <v>0</v>
      </c>
    </row>
    <row r="85" spans="1:17" ht="12.75">
      <c r="A85" s="4" t="s">
        <v>72</v>
      </c>
      <c r="B85" s="4"/>
      <c r="C85" s="21">
        <f>13921754+104963+402098</f>
        <v>14428815</v>
      </c>
      <c r="D85" s="21"/>
      <c r="E85" s="21">
        <v>30161011</v>
      </c>
      <c r="F85" s="21"/>
      <c r="G85" s="21">
        <v>11250884</v>
      </c>
      <c r="H85" s="21"/>
      <c r="I85" s="21">
        <v>13379805</v>
      </c>
      <c r="J85" s="21"/>
      <c r="K85" s="21">
        <f>456605+134712+22500+738432+61745</f>
        <v>1413994</v>
      </c>
      <c r="L85" s="21"/>
      <c r="M85" s="21">
        <f>1718857+11403818+4664+2239873</f>
        <v>15367212</v>
      </c>
      <c r="N85" s="21"/>
      <c r="O85" s="21">
        <f t="shared" si="6"/>
        <v>16781206</v>
      </c>
      <c r="P85" s="21"/>
      <c r="Q85" s="79">
        <f t="shared" si="7"/>
        <v>0</v>
      </c>
    </row>
    <row r="86" spans="1:17" ht="12.75">
      <c r="A86" s="4" t="s">
        <v>73</v>
      </c>
      <c r="B86" s="4"/>
      <c r="C86" s="21">
        <f>64710165+559418+2266562</f>
        <v>67536145</v>
      </c>
      <c r="D86" s="21"/>
      <c r="E86" s="21">
        <v>200966889</v>
      </c>
      <c r="F86" s="21"/>
      <c r="G86" s="21">
        <v>106077035</v>
      </c>
      <c r="H86" s="21"/>
      <c r="I86" s="21">
        <v>121647315</v>
      </c>
      <c r="J86" s="21"/>
      <c r="K86" s="21">
        <f>14952463+369576+2074427+463273</f>
        <v>17859739</v>
      </c>
      <c r="L86" s="21"/>
      <c r="M86" s="21">
        <f>10450428+50495316+514091</f>
        <v>61459835</v>
      </c>
      <c r="N86" s="21"/>
      <c r="O86" s="21">
        <f t="shared" si="6"/>
        <v>79319574</v>
      </c>
      <c r="P86" s="21"/>
      <c r="Q86" s="79">
        <f t="shared" si="7"/>
        <v>0</v>
      </c>
    </row>
    <row r="87" spans="1:17" ht="12.75">
      <c r="A87" s="4" t="s">
        <v>74</v>
      </c>
      <c r="B87" s="4"/>
      <c r="C87" s="21">
        <f>159511187+4746934</f>
        <v>164258121</v>
      </c>
      <c r="D87" s="21"/>
      <c r="E87" s="21">
        <v>374252801</v>
      </c>
      <c r="F87" s="21"/>
      <c r="G87" s="21">
        <v>182536852</v>
      </c>
      <c r="H87" s="21"/>
      <c r="I87" s="21">
        <v>208583486</v>
      </c>
      <c r="J87" s="21"/>
      <c r="K87" s="21">
        <f>39198945+267091+1068869+3871506</f>
        <v>44406411</v>
      </c>
      <c r="L87" s="21"/>
      <c r="M87" s="21">
        <f>65716800+45292852+3840340+6412912</f>
        <v>121262904</v>
      </c>
      <c r="N87" s="21"/>
      <c r="O87" s="21">
        <f t="shared" si="6"/>
        <v>165669315</v>
      </c>
      <c r="P87" s="21"/>
      <c r="Q87" s="79">
        <f>+E87-I87-O87</f>
        <v>0</v>
      </c>
    </row>
    <row r="88" spans="1:17" ht="12.75">
      <c r="A88" s="4" t="s">
        <v>75</v>
      </c>
      <c r="B88" s="4"/>
      <c r="C88" s="21">
        <f>66864226+205786+48039</f>
        <v>67118051</v>
      </c>
      <c r="D88" s="21"/>
      <c r="E88" s="21">
        <v>130771965</v>
      </c>
      <c r="F88" s="21"/>
      <c r="G88" s="21">
        <v>55724996</v>
      </c>
      <c r="H88" s="21"/>
      <c r="I88" s="21">
        <v>64478893</v>
      </c>
      <c r="J88" s="21"/>
      <c r="K88" s="21">
        <f>6791658+940469+193766</f>
        <v>7925893</v>
      </c>
      <c r="L88" s="21"/>
      <c r="M88" s="21">
        <f>7438133+30616922+1542564+18769560</f>
        <v>58367179</v>
      </c>
      <c r="N88" s="21"/>
      <c r="O88" s="21">
        <f t="shared" si="6"/>
        <v>66293072</v>
      </c>
      <c r="P88" s="21"/>
      <c r="Q88" s="79">
        <f t="shared" si="7"/>
        <v>0</v>
      </c>
    </row>
    <row r="89" spans="1:17" ht="12.75">
      <c r="A89" s="4" t="s">
        <v>76</v>
      </c>
      <c r="B89" s="4"/>
      <c r="C89" s="21">
        <f>36975029+464651+1797148</f>
        <v>39236828</v>
      </c>
      <c r="D89" s="21"/>
      <c r="E89" s="21">
        <v>64634809</v>
      </c>
      <c r="F89" s="21"/>
      <c r="G89" s="21">
        <v>15905774</v>
      </c>
      <c r="H89" s="21"/>
      <c r="I89" s="21">
        <v>19428162</v>
      </c>
      <c r="J89" s="21"/>
      <c r="K89" s="21">
        <f>1226273+61052+4225080+812128+464651</f>
        <v>6789184</v>
      </c>
      <c r="L89" s="21"/>
      <c r="M89" s="21">
        <f>13558438+20649873+24784+4184368</f>
        <v>38417463</v>
      </c>
      <c r="N89" s="21"/>
      <c r="O89" s="21">
        <f t="shared" si="6"/>
        <v>45206647</v>
      </c>
      <c r="P89" s="21"/>
      <c r="Q89" s="79">
        <f t="shared" si="7"/>
        <v>0</v>
      </c>
    </row>
    <row r="90" spans="1:17" ht="12.75">
      <c r="A90" s="4" t="s">
        <v>77</v>
      </c>
      <c r="B90" s="4"/>
      <c r="C90" s="21">
        <f>17936677+792448</f>
        <v>18729125</v>
      </c>
      <c r="D90" s="21"/>
      <c r="E90" s="21">
        <v>39273183</v>
      </c>
      <c r="F90" s="21"/>
      <c r="G90" s="21">
        <v>16923060</v>
      </c>
      <c r="H90" s="21"/>
      <c r="I90" s="21">
        <v>19805256</v>
      </c>
      <c r="J90" s="21"/>
      <c r="K90" s="21">
        <f>1040638+106930+180389+147595+313979</f>
        <v>1789531</v>
      </c>
      <c r="L90" s="21"/>
      <c r="M90" s="21">
        <f>5090874+11284106+1303416</f>
        <v>17678396</v>
      </c>
      <c r="N90" s="21"/>
      <c r="O90" s="21">
        <f t="shared" si="6"/>
        <v>19467927</v>
      </c>
      <c r="P90" s="21"/>
      <c r="Q90" s="79">
        <f t="shared" si="7"/>
        <v>0</v>
      </c>
    </row>
    <row r="91" spans="1:17" ht="12.75">
      <c r="A91" s="4" t="s">
        <v>78</v>
      </c>
      <c r="B91" s="4"/>
      <c r="C91" s="21">
        <f>6667432+37894+157849</f>
        <v>6863175</v>
      </c>
      <c r="D91" s="21"/>
      <c r="E91" s="21">
        <v>17881827</v>
      </c>
      <c r="F91" s="21"/>
      <c r="G91" s="21">
        <v>8600633</v>
      </c>
      <c r="H91" s="21"/>
      <c r="I91" s="21">
        <v>14758204</v>
      </c>
      <c r="J91" s="21"/>
      <c r="K91" s="21">
        <f>102096+217964+10232</f>
        <v>330292</v>
      </c>
      <c r="L91" s="21"/>
      <c r="M91" s="21">
        <f>1115173+5603133+388319-4313294</f>
        <v>2793331</v>
      </c>
      <c r="N91" s="21"/>
      <c r="O91" s="21">
        <f t="shared" si="6"/>
        <v>3123623</v>
      </c>
      <c r="P91" s="21"/>
      <c r="Q91" s="79">
        <f t="shared" si="7"/>
        <v>0</v>
      </c>
    </row>
    <row r="92" spans="1:17" ht="12.75">
      <c r="A92" s="4" t="s">
        <v>79</v>
      </c>
      <c r="B92" s="4"/>
      <c r="C92" s="21">
        <v>2449496</v>
      </c>
      <c r="D92" s="21"/>
      <c r="E92" s="21">
        <v>10821808</v>
      </c>
      <c r="F92" s="21"/>
      <c r="G92" s="21">
        <v>6308012</v>
      </c>
      <c r="H92" s="21"/>
      <c r="I92" s="21">
        <v>6854684</v>
      </c>
      <c r="J92" s="21"/>
      <c r="K92" s="21">
        <f>26565+819551</f>
        <v>846116</v>
      </c>
      <c r="L92" s="21"/>
      <c r="M92" s="21">
        <f>64824+2966285-102105+192004</f>
        <v>3121008</v>
      </c>
      <c r="N92" s="21"/>
      <c r="O92" s="21">
        <f t="shared" si="6"/>
        <v>3967124</v>
      </c>
      <c r="P92" s="21"/>
      <c r="Q92" s="79">
        <f t="shared" si="7"/>
        <v>0</v>
      </c>
    </row>
    <row r="93" spans="1:17" ht="12.75">
      <c r="A93" s="4" t="s">
        <v>80</v>
      </c>
      <c r="B93" s="4"/>
      <c r="C93" s="21">
        <v>91226282</v>
      </c>
      <c r="D93" s="21"/>
      <c r="E93" s="21">
        <v>169721409</v>
      </c>
      <c r="F93" s="21"/>
      <c r="G93" s="21">
        <v>67026506</v>
      </c>
      <c r="H93" s="21"/>
      <c r="I93" s="21">
        <v>76711941</v>
      </c>
      <c r="J93" s="21"/>
      <c r="K93" s="21">
        <f>7177027+225481+750702+5163829+138000</f>
        <v>13455039</v>
      </c>
      <c r="L93" s="21"/>
      <c r="M93" s="21">
        <f>19606699+51978875+7927152+41703</f>
        <v>79554429</v>
      </c>
      <c r="N93" s="21"/>
      <c r="O93" s="21">
        <f t="shared" si="6"/>
        <v>93009468</v>
      </c>
      <c r="P93" s="21"/>
      <c r="Q93" s="79">
        <f t="shared" si="7"/>
        <v>0</v>
      </c>
    </row>
    <row r="94" spans="1:17" ht="12.75">
      <c r="A94" s="4" t="s">
        <v>81</v>
      </c>
      <c r="B94" s="4"/>
      <c r="C94" s="21">
        <f>21784045+37030+348486</f>
        <v>22169561</v>
      </c>
      <c r="D94" s="21"/>
      <c r="E94" s="21">
        <v>40681342</v>
      </c>
      <c r="F94" s="21"/>
      <c r="G94" s="21">
        <v>14336314</v>
      </c>
      <c r="H94" s="21"/>
      <c r="I94" s="21">
        <v>16891747</v>
      </c>
      <c r="J94" s="21"/>
      <c r="K94" s="21">
        <f>1870581+110134+6572</f>
        <v>1987287</v>
      </c>
      <c r="L94" s="21"/>
      <c r="M94" s="21">
        <f>6387196+14734934+223112+457066</f>
        <v>21802308</v>
      </c>
      <c r="N94" s="21"/>
      <c r="O94" s="21">
        <f t="shared" si="6"/>
        <v>23789595</v>
      </c>
      <c r="P94" s="21"/>
      <c r="Q94" s="79">
        <f t="shared" si="7"/>
        <v>0</v>
      </c>
    </row>
    <row r="95" spans="1:17" ht="12.75">
      <c r="A95" s="4" t="s">
        <v>82</v>
      </c>
      <c r="B95" s="4"/>
      <c r="C95" s="21">
        <f>34821278+59656</f>
        <v>34880934</v>
      </c>
      <c r="D95" s="21"/>
      <c r="E95" s="21">
        <v>60705020</v>
      </c>
      <c r="F95" s="21"/>
      <c r="G95" s="21">
        <v>19266868</v>
      </c>
      <c r="H95" s="21"/>
      <c r="I95" s="21">
        <v>24052456</v>
      </c>
      <c r="J95" s="21"/>
      <c r="K95" s="21">
        <f>3902209+310329+438072+273910</f>
        <v>4924520</v>
      </c>
      <c r="L95" s="21"/>
      <c r="M95" s="21">
        <f>400000+6814036+22271512+788953+1453543</f>
        <v>31728044</v>
      </c>
      <c r="N95" s="21"/>
      <c r="O95" s="21">
        <f t="shared" si="6"/>
        <v>36652564</v>
      </c>
      <c r="P95" s="21"/>
      <c r="Q95" s="79">
        <f t="shared" si="7"/>
        <v>0</v>
      </c>
    </row>
    <row r="96" spans="1:17" ht="12.75" hidden="1">
      <c r="A96" s="4" t="s">
        <v>174</v>
      </c>
      <c r="B96" s="4"/>
      <c r="C96" s="21">
        <v>0</v>
      </c>
      <c r="D96" s="21"/>
      <c r="E96" s="21">
        <v>0</v>
      </c>
      <c r="F96" s="21"/>
      <c r="G96" s="21">
        <v>0</v>
      </c>
      <c r="H96" s="21"/>
      <c r="I96" s="21">
        <v>0</v>
      </c>
      <c r="J96" s="21"/>
      <c r="K96" s="21">
        <v>0</v>
      </c>
      <c r="L96" s="21"/>
      <c r="M96" s="21">
        <v>0</v>
      </c>
      <c r="N96" s="21"/>
      <c r="O96" s="21">
        <f t="shared" si="6"/>
        <v>0</v>
      </c>
      <c r="P96" s="21"/>
      <c r="Q96" s="79">
        <f t="shared" si="7"/>
        <v>0</v>
      </c>
    </row>
    <row r="97" spans="1:17" ht="12.75">
      <c r="A97" s="4" t="s">
        <v>83</v>
      </c>
      <c r="B97" s="4"/>
      <c r="C97" s="21">
        <f>65549857+168176</f>
        <v>65718033</v>
      </c>
      <c r="D97" s="21"/>
      <c r="E97" s="21">
        <v>111824497</v>
      </c>
      <c r="F97" s="21"/>
      <c r="G97" s="21">
        <v>40378158</v>
      </c>
      <c r="H97" s="21"/>
      <c r="I97" s="21">
        <v>46202590</v>
      </c>
      <c r="J97" s="21"/>
      <c r="K97" s="21">
        <f>241973+1064825+95109+2339222</f>
        <v>3741129</v>
      </c>
      <c r="L97" s="21"/>
      <c r="M97" s="21">
        <f>11903884+43211009-144881+6910766</f>
        <v>61880778</v>
      </c>
      <c r="N97" s="21"/>
      <c r="O97" s="21">
        <f t="shared" si="6"/>
        <v>65621907</v>
      </c>
      <c r="P97" s="21"/>
      <c r="Q97" s="79">
        <f t="shared" si="7"/>
        <v>0</v>
      </c>
    </row>
    <row r="98" spans="1:17" ht="12.75" hidden="1">
      <c r="A98" s="4" t="s">
        <v>175</v>
      </c>
      <c r="B98" s="4"/>
      <c r="C98" s="5">
        <v>0</v>
      </c>
      <c r="D98" s="5"/>
      <c r="E98" s="5">
        <v>0</v>
      </c>
      <c r="F98" s="5"/>
      <c r="G98" s="5">
        <v>0</v>
      </c>
      <c r="H98" s="5"/>
      <c r="I98" s="5">
        <v>0</v>
      </c>
      <c r="J98" s="5"/>
      <c r="K98" s="5">
        <v>0</v>
      </c>
      <c r="L98" s="5"/>
      <c r="M98" s="5">
        <v>14729054</v>
      </c>
      <c r="N98" s="5"/>
      <c r="O98" s="21">
        <f>+M98+K98</f>
        <v>14729054</v>
      </c>
      <c r="P98" s="5"/>
      <c r="Q98" s="79">
        <f>+E98-I98-O98</f>
        <v>-14729054</v>
      </c>
    </row>
    <row r="99" spans="1:17" ht="12.75">
      <c r="A99" s="4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79">
        <f>+E99-I99-O99</f>
        <v>0</v>
      </c>
    </row>
    <row r="100" spans="1:16" ht="12.75">
      <c r="A100" s="4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15"/>
    </row>
  </sheetData>
  <printOptions/>
  <pageMargins left="1" right="1" top="0.5" bottom="0.5" header="0" footer="0.25"/>
  <pageSetup firstPageNumber="20" useFirstPageNumber="1" horizontalDpi="1200" verticalDpi="1200" orientation="portrait" pageOrder="overThenDown" scale="95" r:id="rId1"/>
  <headerFooter alignWithMargins="0">
    <oddFooter>&amp;C&amp;"Times New Roman,Regular"&amp;11&amp;P</oddFooter>
  </headerFooter>
  <colBreaks count="1" manualBreakCount="1">
    <brk id="10" max="9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S105"/>
  <sheetViews>
    <sheetView zoomScaleSheetLayoutView="75" workbookViewId="0" topLeftCell="A46">
      <selection activeCell="A11" sqref="A11"/>
    </sheetView>
  </sheetViews>
  <sheetFormatPr defaultColWidth="9.140625" defaultRowHeight="12.75"/>
  <cols>
    <col min="1" max="1" width="18.7109375" style="16" customWidth="1"/>
    <col min="2" max="2" width="1.7109375" style="16" customWidth="1"/>
    <col min="3" max="3" width="11.7109375" style="16" customWidth="1"/>
    <col min="4" max="4" width="1.7109375" style="16" customWidth="1"/>
    <col min="5" max="5" width="11.7109375" style="16" customWidth="1"/>
    <col min="6" max="6" width="1.7109375" style="16" customWidth="1"/>
    <col min="7" max="7" width="11.7109375" style="16" customWidth="1"/>
    <col min="8" max="8" width="1.7109375" style="16" customWidth="1"/>
    <col min="9" max="9" width="11.7109375" style="16" customWidth="1"/>
    <col min="10" max="10" width="1.7109375" style="16" customWidth="1"/>
    <col min="11" max="11" width="11.7109375" style="16" customWidth="1"/>
    <col min="12" max="12" width="1.7109375" style="16" customWidth="1"/>
    <col min="13" max="13" width="11.7109375" style="16" customWidth="1"/>
    <col min="14" max="14" width="1.7109375" style="16" customWidth="1"/>
    <col min="15" max="15" width="12.7109375" style="16" customWidth="1"/>
    <col min="16" max="16" width="1.7109375" style="16" customWidth="1"/>
    <col min="17" max="17" width="12.7109375" style="16" customWidth="1"/>
    <col min="18" max="18" width="9.140625" style="78" customWidth="1"/>
    <col min="19" max="19" width="9.28125" style="78" bestFit="1" customWidth="1"/>
    <col min="20" max="16384" width="9.140625" style="78" customWidth="1"/>
  </cols>
  <sheetData>
    <row r="1" spans="1:19" s="82" customFormat="1" ht="12.75">
      <c r="A1" s="36" t="s">
        <v>204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47"/>
      <c r="S1" s="47"/>
    </row>
    <row r="2" spans="1:19" s="82" customFormat="1" ht="12.75">
      <c r="A2" s="36" t="s">
        <v>249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47"/>
      <c r="S2" s="47"/>
    </row>
    <row r="3" spans="1:19" s="16" customFormat="1" ht="12.75">
      <c r="A3" s="36" t="s">
        <v>187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4"/>
      <c r="S3" s="4"/>
    </row>
    <row r="4" spans="1:19" s="16" customFormat="1" ht="12.75">
      <c r="A4" s="113" t="s">
        <v>261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4"/>
      <c r="S4" s="4"/>
    </row>
    <row r="5" spans="1:19" s="16" customFormat="1" ht="12.75">
      <c r="A5" s="4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/>
      <c r="S5" s="4" t="s">
        <v>164</v>
      </c>
    </row>
    <row r="6" spans="1:19" s="16" customFormat="1" ht="12.75">
      <c r="A6" s="8"/>
      <c r="B6" s="8"/>
      <c r="C6" s="8" t="s">
        <v>148</v>
      </c>
      <c r="D6" s="8"/>
      <c r="E6" s="8" t="s">
        <v>167</v>
      </c>
      <c r="F6" s="8"/>
      <c r="G6" s="8" t="s">
        <v>164</v>
      </c>
      <c r="H6" s="8"/>
      <c r="I6" s="8" t="s">
        <v>0</v>
      </c>
      <c r="J6" s="8"/>
      <c r="K6" s="8" t="s">
        <v>1</v>
      </c>
      <c r="L6" s="8"/>
      <c r="M6" s="8" t="s">
        <v>2</v>
      </c>
      <c r="N6" s="8"/>
      <c r="O6" s="8" t="s">
        <v>3</v>
      </c>
      <c r="P6" s="8"/>
      <c r="Q6" s="8" t="s">
        <v>4</v>
      </c>
      <c r="R6" s="4"/>
      <c r="S6" s="4" t="s">
        <v>215</v>
      </c>
    </row>
    <row r="7" spans="1:19" s="16" customFormat="1" ht="12.75">
      <c r="A7" s="39" t="s">
        <v>5</v>
      </c>
      <c r="B7" s="42"/>
      <c r="C7" s="39" t="s">
        <v>236</v>
      </c>
      <c r="D7" s="42"/>
      <c r="E7" s="39" t="s">
        <v>7</v>
      </c>
      <c r="F7" s="42"/>
      <c r="G7" s="39" t="s">
        <v>6</v>
      </c>
      <c r="H7" s="42"/>
      <c r="I7" s="39" t="s">
        <v>8</v>
      </c>
      <c r="J7" s="42"/>
      <c r="K7" s="39" t="s">
        <v>9</v>
      </c>
      <c r="L7" s="42"/>
      <c r="M7" s="39" t="s">
        <v>10</v>
      </c>
      <c r="N7" s="42"/>
      <c r="O7" s="39" t="s">
        <v>11</v>
      </c>
      <c r="P7" s="42"/>
      <c r="Q7" s="39" t="s">
        <v>12</v>
      </c>
      <c r="R7" s="4"/>
      <c r="S7" s="4" t="s">
        <v>216</v>
      </c>
    </row>
    <row r="8" spans="1:19" s="16" customFormat="1" ht="12.75">
      <c r="A8" s="8"/>
      <c r="B8" s="42"/>
      <c r="C8" s="8"/>
      <c r="D8" s="42"/>
      <c r="E8" s="8"/>
      <c r="F8" s="42"/>
      <c r="G8" s="8"/>
      <c r="H8" s="42"/>
      <c r="I8" s="8"/>
      <c r="J8" s="42"/>
      <c r="K8" s="8"/>
      <c r="L8" s="42"/>
      <c r="M8" s="8"/>
      <c r="N8" s="42"/>
      <c r="O8" s="8"/>
      <c r="P8" s="42"/>
      <c r="Q8" s="8"/>
      <c r="R8" s="4"/>
      <c r="S8" s="4"/>
    </row>
    <row r="9" spans="1:19" s="16" customFormat="1" ht="12.75" hidden="1">
      <c r="A9" s="76" t="s">
        <v>251</v>
      </c>
      <c r="B9" s="42"/>
      <c r="C9" s="56">
        <v>0</v>
      </c>
      <c r="D9" s="56"/>
      <c r="E9" s="56">
        <v>0</v>
      </c>
      <c r="F9" s="56"/>
      <c r="G9" s="56">
        <v>0</v>
      </c>
      <c r="H9" s="56"/>
      <c r="I9" s="56">
        <v>0</v>
      </c>
      <c r="J9" s="56"/>
      <c r="K9" s="56">
        <v>0</v>
      </c>
      <c r="L9" s="56"/>
      <c r="M9" s="56">
        <v>0</v>
      </c>
      <c r="N9" s="41"/>
      <c r="O9" s="41">
        <f>Q9-C9-E9-G9-I9-K9-M9</f>
        <v>0</v>
      </c>
      <c r="P9" s="41"/>
      <c r="Q9" s="56">
        <v>0</v>
      </c>
      <c r="R9" s="4"/>
      <c r="S9" s="83">
        <v>0</v>
      </c>
    </row>
    <row r="10" spans="1:19" s="16" customFormat="1" ht="12.75">
      <c r="A10" s="42" t="s">
        <v>13</v>
      </c>
      <c r="B10" s="42"/>
      <c r="C10" s="56">
        <v>2957694</v>
      </c>
      <c r="D10" s="56"/>
      <c r="E10" s="56">
        <v>12657816</v>
      </c>
      <c r="F10" s="56"/>
      <c r="G10" s="56">
        <v>0</v>
      </c>
      <c r="H10" s="56"/>
      <c r="I10" s="56">
        <v>3961760</v>
      </c>
      <c r="J10" s="56"/>
      <c r="K10" s="56">
        <v>2740511</v>
      </c>
      <c r="L10" s="56"/>
      <c r="M10" s="56">
        <v>0</v>
      </c>
      <c r="N10" s="41"/>
      <c r="O10" s="41">
        <f>Q10-C10-E10-G10-I10-K10-M10</f>
        <v>4180512</v>
      </c>
      <c r="P10" s="41"/>
      <c r="Q10" s="56">
        <v>26498293</v>
      </c>
      <c r="R10" s="4"/>
      <c r="S10" s="83">
        <f>435000+79623+968451</f>
        <v>1483074</v>
      </c>
    </row>
    <row r="11" spans="1:19" s="16" customFormat="1" ht="12.75">
      <c r="A11" s="42" t="s">
        <v>14</v>
      </c>
      <c r="B11" s="42"/>
      <c r="C11" s="24">
        <v>2246183</v>
      </c>
      <c r="D11" s="24"/>
      <c r="E11" s="24">
        <v>4921839</v>
      </c>
      <c r="F11" s="24"/>
      <c r="G11" s="24">
        <v>4445</v>
      </c>
      <c r="H11" s="24"/>
      <c r="I11" s="24">
        <v>1667644</v>
      </c>
      <c r="J11" s="24"/>
      <c r="K11" s="24">
        <v>2204998</v>
      </c>
      <c r="L11" s="24"/>
      <c r="M11" s="24">
        <v>0</v>
      </c>
      <c r="N11" s="21"/>
      <c r="O11" s="21">
        <f>Q11-C11-E11-G11-I11-K11-M11</f>
        <v>1484481</v>
      </c>
      <c r="P11" s="21"/>
      <c r="Q11" s="24">
        <v>12529590</v>
      </c>
      <c r="R11" s="4"/>
      <c r="S11" s="24">
        <f>45000+176230</f>
        <v>221230</v>
      </c>
    </row>
    <row r="12" spans="1:19" s="16" customFormat="1" ht="12.75">
      <c r="A12" s="42" t="s">
        <v>15</v>
      </c>
      <c r="B12" s="42"/>
      <c r="C12" s="24">
        <v>3998714</v>
      </c>
      <c r="D12" s="24"/>
      <c r="E12" s="24">
        <v>8784820</v>
      </c>
      <c r="F12" s="24"/>
      <c r="G12" s="24">
        <v>0</v>
      </c>
      <c r="H12" s="24"/>
      <c r="I12" s="24">
        <v>4203939</v>
      </c>
      <c r="J12" s="24"/>
      <c r="K12" s="24">
        <v>6963307</v>
      </c>
      <c r="L12" s="24"/>
      <c r="M12" s="24">
        <v>0</v>
      </c>
      <c r="N12" s="21"/>
      <c r="O12" s="21">
        <f aca="true" t="shared" si="0" ref="O12:O27">Q12-C12-E12-G12-I12-K12-M12</f>
        <v>3548079</v>
      </c>
      <c r="P12" s="21"/>
      <c r="Q12" s="24">
        <v>27498859</v>
      </c>
      <c r="R12" s="4"/>
      <c r="S12" s="24">
        <f>92000+19806+974004</f>
        <v>1085810</v>
      </c>
    </row>
    <row r="13" spans="1:19" s="16" customFormat="1" ht="12.75">
      <c r="A13" s="42" t="s">
        <v>16</v>
      </c>
      <c r="B13" s="42"/>
      <c r="C13" s="24">
        <v>1717337</v>
      </c>
      <c r="D13" s="24"/>
      <c r="E13" s="24">
        <v>4796329</v>
      </c>
      <c r="F13" s="24"/>
      <c r="G13" s="24">
        <v>0</v>
      </c>
      <c r="H13" s="24"/>
      <c r="I13" s="24">
        <v>1974036</v>
      </c>
      <c r="J13" s="24"/>
      <c r="K13" s="24">
        <v>1780841</v>
      </c>
      <c r="L13" s="24"/>
      <c r="M13" s="24">
        <v>0</v>
      </c>
      <c r="N13" s="21"/>
      <c r="O13" s="21">
        <f t="shared" si="0"/>
        <v>1863865</v>
      </c>
      <c r="P13" s="21"/>
      <c r="Q13" s="24">
        <v>12132408</v>
      </c>
      <c r="R13" s="4"/>
      <c r="S13" s="24">
        <v>1400</v>
      </c>
    </row>
    <row r="14" spans="1:19" s="16" customFormat="1" ht="12.75">
      <c r="A14" s="42" t="s">
        <v>17</v>
      </c>
      <c r="B14" s="42"/>
      <c r="C14" s="24">
        <v>2157711</v>
      </c>
      <c r="D14" s="24"/>
      <c r="E14" s="24">
        <v>4518757</v>
      </c>
      <c r="F14" s="24"/>
      <c r="G14" s="24">
        <v>0</v>
      </c>
      <c r="H14" s="24"/>
      <c r="I14" s="24">
        <v>1114572</v>
      </c>
      <c r="J14" s="24"/>
      <c r="K14" s="24">
        <v>1357727</v>
      </c>
      <c r="L14" s="24"/>
      <c r="M14" s="24">
        <v>0</v>
      </c>
      <c r="N14" s="21"/>
      <c r="O14" s="21">
        <f t="shared" si="0"/>
        <v>1519929</v>
      </c>
      <c r="P14" s="21"/>
      <c r="Q14" s="24">
        <v>10668696</v>
      </c>
      <c r="R14" s="4"/>
      <c r="S14" s="24">
        <f>831+189684+107199</f>
        <v>297714</v>
      </c>
    </row>
    <row r="15" spans="1:19" s="16" customFormat="1" ht="12.75">
      <c r="A15" s="42" t="s">
        <v>18</v>
      </c>
      <c r="B15" s="42"/>
      <c r="C15" s="24">
        <v>1956513</v>
      </c>
      <c r="D15" s="24"/>
      <c r="E15" s="24">
        <v>11306530</v>
      </c>
      <c r="F15" s="24"/>
      <c r="G15" s="24">
        <v>0</v>
      </c>
      <c r="H15" s="24"/>
      <c r="I15" s="24">
        <v>2026069</v>
      </c>
      <c r="J15" s="24"/>
      <c r="K15" s="24">
        <v>1165346</v>
      </c>
      <c r="L15" s="24"/>
      <c r="M15" s="24">
        <v>0</v>
      </c>
      <c r="N15" s="21"/>
      <c r="O15" s="21">
        <f t="shared" si="0"/>
        <v>2770281</v>
      </c>
      <c r="P15" s="21"/>
      <c r="Q15" s="24">
        <v>19224739</v>
      </c>
      <c r="R15" s="4"/>
      <c r="S15" s="24">
        <f>28783+51562</f>
        <v>80345</v>
      </c>
    </row>
    <row r="16" spans="1:19" s="16" customFormat="1" ht="12.75" hidden="1">
      <c r="A16" s="42" t="s">
        <v>254</v>
      </c>
      <c r="B16" s="4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1"/>
      <c r="O16" s="21">
        <f t="shared" si="0"/>
        <v>0</v>
      </c>
      <c r="P16" s="21"/>
      <c r="Q16" s="24"/>
      <c r="R16" s="4"/>
      <c r="S16" s="24"/>
    </row>
    <row r="17" spans="1:19" s="16" customFormat="1" ht="12.75">
      <c r="A17" s="42" t="s">
        <v>178</v>
      </c>
      <c r="B17" s="42"/>
      <c r="C17" s="24">
        <v>13974670</v>
      </c>
      <c r="D17" s="24"/>
      <c r="E17" s="24">
        <v>40557333</v>
      </c>
      <c r="F17" s="24"/>
      <c r="G17" s="24">
        <v>0</v>
      </c>
      <c r="H17" s="24"/>
      <c r="I17" s="24">
        <v>25527934</v>
      </c>
      <c r="J17" s="24"/>
      <c r="K17" s="24">
        <v>7918164</v>
      </c>
      <c r="L17" s="24"/>
      <c r="M17" s="24">
        <v>0</v>
      </c>
      <c r="N17" s="21"/>
      <c r="O17" s="21">
        <f t="shared" si="0"/>
        <v>12979236</v>
      </c>
      <c r="P17" s="21"/>
      <c r="Q17" s="24">
        <v>100957337</v>
      </c>
      <c r="R17" s="4"/>
      <c r="S17" s="24">
        <v>4710000</v>
      </c>
    </row>
    <row r="18" spans="1:19" s="16" customFormat="1" ht="12.75">
      <c r="A18" s="42" t="s">
        <v>20</v>
      </c>
      <c r="B18" s="42"/>
      <c r="C18" s="24">
        <v>1533529</v>
      </c>
      <c r="D18" s="24"/>
      <c r="E18" s="24">
        <v>1603847</v>
      </c>
      <c r="F18" s="24"/>
      <c r="G18" s="24">
        <v>0</v>
      </c>
      <c r="H18" s="24"/>
      <c r="I18" s="24">
        <v>1051382</v>
      </c>
      <c r="J18" s="24"/>
      <c r="K18" s="24">
        <v>763217</v>
      </c>
      <c r="L18" s="24"/>
      <c r="M18" s="24">
        <v>0</v>
      </c>
      <c r="N18" s="21"/>
      <c r="O18" s="21">
        <f t="shared" si="0"/>
        <v>932601</v>
      </c>
      <c r="P18" s="21"/>
      <c r="Q18" s="24">
        <v>5884576</v>
      </c>
      <c r="R18" s="4"/>
      <c r="S18" s="24">
        <f>103477+20000</f>
        <v>123477</v>
      </c>
    </row>
    <row r="19" spans="1:19" s="16" customFormat="1" ht="12.75" hidden="1">
      <c r="A19" s="42" t="s">
        <v>172</v>
      </c>
      <c r="B19" s="42"/>
      <c r="C19" s="24">
        <v>0</v>
      </c>
      <c r="D19" s="24"/>
      <c r="E19" s="24">
        <v>0</v>
      </c>
      <c r="F19" s="24"/>
      <c r="G19" s="24">
        <v>0</v>
      </c>
      <c r="H19" s="24"/>
      <c r="I19" s="24">
        <v>0</v>
      </c>
      <c r="J19" s="24"/>
      <c r="K19" s="24">
        <v>0</v>
      </c>
      <c r="L19" s="24"/>
      <c r="M19" s="24">
        <v>0</v>
      </c>
      <c r="N19" s="21"/>
      <c r="O19" s="21">
        <f t="shared" si="0"/>
        <v>0</v>
      </c>
      <c r="P19" s="21"/>
      <c r="Q19" s="24">
        <v>0</v>
      </c>
      <c r="R19" s="4"/>
      <c r="S19" s="24">
        <v>0</v>
      </c>
    </row>
    <row r="20" spans="1:19" s="16" customFormat="1" ht="12.75">
      <c r="A20" s="42" t="s">
        <v>21</v>
      </c>
      <c r="B20" s="42"/>
      <c r="C20" s="24">
        <v>3514756</v>
      </c>
      <c r="D20" s="24"/>
      <c r="E20" s="24">
        <v>18820858</v>
      </c>
      <c r="F20" s="24"/>
      <c r="G20" s="24">
        <v>0</v>
      </c>
      <c r="H20" s="24"/>
      <c r="I20" s="24">
        <v>5731958</v>
      </c>
      <c r="J20" s="24"/>
      <c r="K20" s="24">
        <v>5888818</v>
      </c>
      <c r="L20" s="24"/>
      <c r="M20" s="24">
        <v>0</v>
      </c>
      <c r="N20" s="21"/>
      <c r="O20" s="21">
        <f t="shared" si="0"/>
        <v>4717897</v>
      </c>
      <c r="P20" s="21"/>
      <c r="Q20" s="24">
        <v>38674287</v>
      </c>
      <c r="R20" s="4"/>
      <c r="S20" s="24">
        <f>500+15000+1679673</f>
        <v>1695173</v>
      </c>
    </row>
    <row r="21" spans="1:19" s="16" customFormat="1" ht="12.75">
      <c r="A21" s="42" t="s">
        <v>184</v>
      </c>
      <c r="B21" s="42"/>
      <c r="C21" s="24">
        <v>28924948</v>
      </c>
      <c r="D21" s="24"/>
      <c r="E21" s="24">
        <v>0</v>
      </c>
      <c r="F21" s="24"/>
      <c r="G21" s="24">
        <v>0</v>
      </c>
      <c r="H21" s="24"/>
      <c r="I21" s="24">
        <v>12393356</v>
      </c>
      <c r="J21" s="24"/>
      <c r="K21" s="24">
        <v>4633658</v>
      </c>
      <c r="L21" s="24"/>
      <c r="M21" s="24">
        <v>0</v>
      </c>
      <c r="N21" s="21"/>
      <c r="O21" s="21">
        <f t="shared" si="0"/>
        <v>8567715</v>
      </c>
      <c r="P21" s="21"/>
      <c r="Q21" s="24">
        <v>54519677</v>
      </c>
      <c r="R21" s="4"/>
      <c r="S21" s="24">
        <f>50165+1020429</f>
        <v>1070594</v>
      </c>
    </row>
    <row r="22" spans="1:19" s="16" customFormat="1" ht="12.75">
      <c r="A22" s="42" t="s">
        <v>22</v>
      </c>
      <c r="B22" s="42"/>
      <c r="C22" s="24">
        <v>1820726</v>
      </c>
      <c r="D22" s="24"/>
      <c r="E22" s="24">
        <v>7627287</v>
      </c>
      <c r="F22" s="24"/>
      <c r="G22" s="24">
        <v>0</v>
      </c>
      <c r="H22" s="24"/>
      <c r="I22" s="24">
        <v>1862059</v>
      </c>
      <c r="J22" s="24"/>
      <c r="K22" s="24">
        <v>1192280</v>
      </c>
      <c r="L22" s="24"/>
      <c r="M22" s="24">
        <v>0</v>
      </c>
      <c r="N22" s="21"/>
      <c r="O22" s="21">
        <f t="shared" si="0"/>
        <v>1809416</v>
      </c>
      <c r="P22" s="21"/>
      <c r="Q22" s="24">
        <v>14311768</v>
      </c>
      <c r="R22" s="4"/>
      <c r="S22" s="24">
        <f>4670+4221</f>
        <v>8891</v>
      </c>
    </row>
    <row r="23" spans="1:19" s="16" customFormat="1" ht="12.75" hidden="1">
      <c r="A23" s="42" t="s">
        <v>183</v>
      </c>
      <c r="B23" s="42"/>
      <c r="C23" s="24">
        <v>0</v>
      </c>
      <c r="D23" s="24"/>
      <c r="E23" s="24">
        <v>0</v>
      </c>
      <c r="F23" s="24"/>
      <c r="G23" s="24">
        <v>0</v>
      </c>
      <c r="H23" s="24"/>
      <c r="I23" s="24">
        <v>0</v>
      </c>
      <c r="J23" s="24"/>
      <c r="K23" s="24">
        <v>0</v>
      </c>
      <c r="L23" s="24"/>
      <c r="M23" s="24">
        <v>0</v>
      </c>
      <c r="N23" s="21"/>
      <c r="O23" s="21">
        <f t="shared" si="0"/>
        <v>0</v>
      </c>
      <c r="P23" s="21"/>
      <c r="Q23" s="24">
        <v>0</v>
      </c>
      <c r="R23" s="4"/>
      <c r="S23" s="24">
        <v>0</v>
      </c>
    </row>
    <row r="24" spans="1:19" s="16" customFormat="1" ht="12.75">
      <c r="A24" s="42" t="s">
        <v>24</v>
      </c>
      <c r="B24" s="42"/>
      <c r="C24" s="24">
        <v>1304982</v>
      </c>
      <c r="D24" s="24"/>
      <c r="E24" s="24">
        <v>4061923</v>
      </c>
      <c r="F24" s="24"/>
      <c r="G24" s="24">
        <v>0</v>
      </c>
      <c r="H24" s="24"/>
      <c r="I24" s="24">
        <v>1057651</v>
      </c>
      <c r="J24" s="24"/>
      <c r="K24" s="24">
        <v>1145812</v>
      </c>
      <c r="L24" s="24"/>
      <c r="M24" s="24">
        <v>0</v>
      </c>
      <c r="N24" s="21"/>
      <c r="O24" s="21">
        <f t="shared" si="0"/>
        <v>1239228</v>
      </c>
      <c r="P24" s="21"/>
      <c r="Q24" s="24">
        <v>8809596</v>
      </c>
      <c r="R24" s="4"/>
      <c r="S24" s="24">
        <v>2824</v>
      </c>
    </row>
    <row r="25" spans="1:19" s="16" customFormat="1" ht="12.75">
      <c r="A25" s="42" t="s">
        <v>257</v>
      </c>
      <c r="B25" s="42"/>
      <c r="C25" s="24">
        <v>1350157</v>
      </c>
      <c r="D25" s="24"/>
      <c r="E25" s="24">
        <v>3257910</v>
      </c>
      <c r="F25" s="24"/>
      <c r="G25" s="24">
        <v>0</v>
      </c>
      <c r="H25" s="24"/>
      <c r="I25" s="24">
        <v>2357007</v>
      </c>
      <c r="J25" s="24"/>
      <c r="K25" s="24">
        <v>1504899</v>
      </c>
      <c r="L25" s="24"/>
      <c r="M25" s="24">
        <v>0</v>
      </c>
      <c r="N25" s="21"/>
      <c r="O25" s="21">
        <f t="shared" si="0"/>
        <v>1021570</v>
      </c>
      <c r="P25" s="21"/>
      <c r="Q25" s="24">
        <v>9491543</v>
      </c>
      <c r="R25" s="4"/>
      <c r="S25" s="24">
        <v>142665</v>
      </c>
    </row>
    <row r="26" spans="1:19" s="16" customFormat="1" ht="12.75">
      <c r="A26" s="42" t="s">
        <v>25</v>
      </c>
      <c r="B26" s="42"/>
      <c r="C26" s="24">
        <f>19723000</f>
        <v>19723000</v>
      </c>
      <c r="D26" s="24"/>
      <c r="E26" s="24">
        <v>169300000</v>
      </c>
      <c r="F26" s="24"/>
      <c r="G26" s="24">
        <v>5000</v>
      </c>
      <c r="H26" s="24"/>
      <c r="I26" s="24">
        <v>64723000</v>
      </c>
      <c r="J26" s="24"/>
      <c r="K26" s="24">
        <f>38563000+9529000</f>
        <v>48092000</v>
      </c>
      <c r="L26" s="24"/>
      <c r="M26" s="24">
        <v>0</v>
      </c>
      <c r="N26" s="21"/>
      <c r="O26" s="21">
        <f t="shared" si="0"/>
        <v>46277000</v>
      </c>
      <c r="P26" s="21"/>
      <c r="Q26" s="24">
        <v>348120000</v>
      </c>
      <c r="R26" s="4"/>
      <c r="S26" s="24">
        <f>612000</f>
        <v>612000</v>
      </c>
    </row>
    <row r="27" spans="1:19" s="16" customFormat="1" ht="12.75">
      <c r="A27" s="42" t="s">
        <v>26</v>
      </c>
      <c r="B27" s="42"/>
      <c r="C27" s="24">
        <v>9309576</v>
      </c>
      <c r="D27" s="24"/>
      <c r="E27" s="24">
        <v>0</v>
      </c>
      <c r="F27" s="24"/>
      <c r="G27" s="24">
        <v>0</v>
      </c>
      <c r="H27" s="24"/>
      <c r="I27" s="24">
        <v>1244574</v>
      </c>
      <c r="J27" s="24"/>
      <c r="K27" s="24">
        <v>1273645</v>
      </c>
      <c r="L27" s="24"/>
      <c r="M27" s="24">
        <v>0</v>
      </c>
      <c r="N27" s="21"/>
      <c r="O27" s="21">
        <f t="shared" si="0"/>
        <v>1448594</v>
      </c>
      <c r="P27" s="21"/>
      <c r="Q27" s="24">
        <v>13276389</v>
      </c>
      <c r="R27" s="4"/>
      <c r="S27" s="24">
        <f>1234</f>
        <v>1234</v>
      </c>
    </row>
    <row r="28" spans="1:19" s="16" customFormat="1" ht="12.75">
      <c r="A28" s="42" t="s">
        <v>27</v>
      </c>
      <c r="B28" s="42"/>
      <c r="C28" s="24">
        <v>1815531</v>
      </c>
      <c r="D28" s="24"/>
      <c r="E28" s="24">
        <v>4537722</v>
      </c>
      <c r="F28" s="24"/>
      <c r="G28" s="24">
        <v>0</v>
      </c>
      <c r="H28" s="24"/>
      <c r="I28" s="24">
        <v>1506301</v>
      </c>
      <c r="J28" s="24"/>
      <c r="K28" s="24">
        <v>1208010</v>
      </c>
      <c r="L28" s="24"/>
      <c r="M28" s="24">
        <v>0</v>
      </c>
      <c r="N28" s="21"/>
      <c r="O28" s="21">
        <f aca="true" t="shared" si="1" ref="O28:O76">Q28-C28-E28-G28-I28-K28-M28</f>
        <v>3237562</v>
      </c>
      <c r="P28" s="21"/>
      <c r="Q28" s="24">
        <v>12305126</v>
      </c>
      <c r="R28" s="4"/>
      <c r="S28" s="24">
        <v>0</v>
      </c>
    </row>
    <row r="29" spans="1:19" s="16" customFormat="1" ht="12.75">
      <c r="A29" s="42" t="s">
        <v>28</v>
      </c>
      <c r="B29" s="42"/>
      <c r="C29" s="24">
        <v>6303879</v>
      </c>
      <c r="D29" s="24"/>
      <c r="E29" s="24">
        <v>20256768</v>
      </c>
      <c r="F29" s="24"/>
      <c r="G29" s="24">
        <v>0</v>
      </c>
      <c r="H29" s="24"/>
      <c r="I29" s="24">
        <v>10576734</v>
      </c>
      <c r="J29" s="24"/>
      <c r="K29" s="24">
        <v>3974639</v>
      </c>
      <c r="L29" s="24"/>
      <c r="M29" s="24">
        <v>0</v>
      </c>
      <c r="N29" s="21"/>
      <c r="O29" s="21">
        <f t="shared" si="1"/>
        <v>10252898</v>
      </c>
      <c r="P29" s="21"/>
      <c r="Q29" s="24">
        <v>51364918</v>
      </c>
      <c r="R29" s="4"/>
      <c r="S29" s="24">
        <v>0</v>
      </c>
    </row>
    <row r="30" spans="1:19" s="16" customFormat="1" ht="12.75">
      <c r="A30" s="42" t="s">
        <v>29</v>
      </c>
      <c r="B30" s="42"/>
      <c r="C30" s="24">
        <v>5571200</v>
      </c>
      <c r="D30" s="24"/>
      <c r="E30" s="24">
        <v>12448397</v>
      </c>
      <c r="F30" s="24"/>
      <c r="G30" s="24">
        <v>0</v>
      </c>
      <c r="H30" s="24"/>
      <c r="I30" s="24">
        <v>1201676</v>
      </c>
      <c r="J30" s="24"/>
      <c r="K30" s="24">
        <v>2341943</v>
      </c>
      <c r="L30" s="24"/>
      <c r="M30" s="24">
        <v>146615</v>
      </c>
      <c r="N30" s="21"/>
      <c r="O30" s="21">
        <f t="shared" si="1"/>
        <v>5292170</v>
      </c>
      <c r="P30" s="21"/>
      <c r="Q30" s="24">
        <v>27002001</v>
      </c>
      <c r="R30" s="4"/>
      <c r="S30" s="24">
        <f>28799+46770</f>
        <v>75569</v>
      </c>
    </row>
    <row r="31" spans="1:19" s="16" customFormat="1" ht="12.75">
      <c r="A31" s="42" t="s">
        <v>30</v>
      </c>
      <c r="B31" s="42"/>
      <c r="C31" s="24">
        <v>6986498</v>
      </c>
      <c r="D31" s="24"/>
      <c r="E31" s="24">
        <v>11011732</v>
      </c>
      <c r="F31" s="24"/>
      <c r="G31" s="24">
        <v>2244349</v>
      </c>
      <c r="H31" s="24"/>
      <c r="I31" s="24">
        <v>5006810</v>
      </c>
      <c r="J31" s="24"/>
      <c r="K31" s="24">
        <v>3985555</v>
      </c>
      <c r="L31" s="24"/>
      <c r="M31" s="24">
        <v>0</v>
      </c>
      <c r="N31" s="21"/>
      <c r="O31" s="21">
        <f t="shared" si="1"/>
        <v>3580450</v>
      </c>
      <c r="P31" s="21"/>
      <c r="Q31" s="24">
        <v>32815394</v>
      </c>
      <c r="R31" s="4"/>
      <c r="S31" s="24">
        <f>43289+88692</f>
        <v>131981</v>
      </c>
    </row>
    <row r="32" spans="1:19" s="16" customFormat="1" ht="12.75" hidden="1">
      <c r="A32" s="42" t="s">
        <v>253</v>
      </c>
      <c r="B32" s="42"/>
      <c r="C32" s="24">
        <v>0</v>
      </c>
      <c r="D32" s="24"/>
      <c r="E32" s="24">
        <v>0</v>
      </c>
      <c r="F32" s="24"/>
      <c r="G32" s="24">
        <v>0</v>
      </c>
      <c r="H32" s="24"/>
      <c r="I32" s="24">
        <v>0</v>
      </c>
      <c r="J32" s="24"/>
      <c r="K32" s="24">
        <v>0</v>
      </c>
      <c r="L32" s="24"/>
      <c r="M32" s="24">
        <v>0</v>
      </c>
      <c r="N32" s="21"/>
      <c r="O32" s="21">
        <f t="shared" si="1"/>
        <v>0</v>
      </c>
      <c r="P32" s="21"/>
      <c r="Q32" s="24">
        <v>0</v>
      </c>
      <c r="R32" s="4"/>
      <c r="S32" s="24">
        <v>0</v>
      </c>
    </row>
    <row r="33" spans="1:19" s="16" customFormat="1" ht="12.75">
      <c r="A33" s="42" t="s">
        <v>32</v>
      </c>
      <c r="B33" s="42"/>
      <c r="C33" s="24">
        <v>45450000</v>
      </c>
      <c r="D33" s="24"/>
      <c r="E33" s="24">
        <v>172866000</v>
      </c>
      <c r="F33" s="24"/>
      <c r="G33" s="24">
        <v>0</v>
      </c>
      <c r="H33" s="24"/>
      <c r="I33" s="24">
        <v>50602000</v>
      </c>
      <c r="J33" s="24"/>
      <c r="K33" s="24">
        <v>37013000</v>
      </c>
      <c r="L33" s="24"/>
      <c r="M33" s="24">
        <v>0</v>
      </c>
      <c r="N33" s="21"/>
      <c r="O33" s="21">
        <f t="shared" si="1"/>
        <v>46950000</v>
      </c>
      <c r="P33" s="21"/>
      <c r="Q33" s="24">
        <v>352881000</v>
      </c>
      <c r="R33" s="4"/>
      <c r="S33" s="24">
        <f>933000+75000+76000</f>
        <v>1084000</v>
      </c>
    </row>
    <row r="34" spans="1:19" s="16" customFormat="1" ht="12.75">
      <c r="A34" s="42" t="s">
        <v>33</v>
      </c>
      <c r="B34" s="42"/>
      <c r="C34" s="24">
        <v>1701440</v>
      </c>
      <c r="D34" s="24"/>
      <c r="E34" s="24">
        <v>4078806</v>
      </c>
      <c r="F34" s="24"/>
      <c r="G34" s="24">
        <v>0</v>
      </c>
      <c r="H34" s="24"/>
      <c r="I34" s="24">
        <v>1555913</v>
      </c>
      <c r="J34" s="24"/>
      <c r="K34" s="24">
        <v>1266415</v>
      </c>
      <c r="L34" s="24"/>
      <c r="M34" s="24">
        <v>0</v>
      </c>
      <c r="N34" s="21"/>
      <c r="O34" s="21">
        <f t="shared" si="1"/>
        <v>1886940</v>
      </c>
      <c r="P34" s="21"/>
      <c r="Q34" s="24">
        <v>10489514</v>
      </c>
      <c r="R34" s="4"/>
      <c r="S34" s="24">
        <f>94039+198624</f>
        <v>292663</v>
      </c>
    </row>
    <row r="35" spans="1:19" s="16" customFormat="1" ht="12.75">
      <c r="A35" s="42" t="s">
        <v>34</v>
      </c>
      <c r="B35" s="42"/>
      <c r="C35" s="24">
        <v>1896364</v>
      </c>
      <c r="D35" s="24"/>
      <c r="E35" s="24">
        <v>3099354</v>
      </c>
      <c r="F35" s="24"/>
      <c r="G35" s="24">
        <v>0</v>
      </c>
      <c r="H35" s="24"/>
      <c r="I35" s="24">
        <v>1245455</v>
      </c>
      <c r="J35" s="24"/>
      <c r="K35" s="24">
        <v>1106130</v>
      </c>
      <c r="L35" s="24"/>
      <c r="M35" s="24">
        <v>0</v>
      </c>
      <c r="N35" s="21"/>
      <c r="O35" s="21">
        <f t="shared" si="1"/>
        <v>724856</v>
      </c>
      <c r="P35" s="21"/>
      <c r="Q35" s="24">
        <v>8072159</v>
      </c>
      <c r="R35" s="4"/>
      <c r="S35" s="24">
        <v>0</v>
      </c>
    </row>
    <row r="36" spans="1:19" s="16" customFormat="1" ht="12.75">
      <c r="A36" s="42" t="s">
        <v>35</v>
      </c>
      <c r="B36" s="42"/>
      <c r="C36" s="24">
        <v>6975993</v>
      </c>
      <c r="D36" s="24"/>
      <c r="E36" s="24">
        <v>10910061</v>
      </c>
      <c r="F36" s="24"/>
      <c r="G36" s="24">
        <v>0</v>
      </c>
      <c r="H36" s="24"/>
      <c r="I36" s="24">
        <v>3479171</v>
      </c>
      <c r="J36" s="24"/>
      <c r="K36" s="24">
        <v>2309111</v>
      </c>
      <c r="L36" s="24"/>
      <c r="M36" s="24">
        <v>0</v>
      </c>
      <c r="N36" s="21"/>
      <c r="O36" s="21">
        <f t="shared" si="1"/>
        <v>4088469</v>
      </c>
      <c r="P36" s="21"/>
      <c r="Q36" s="24">
        <v>27762805</v>
      </c>
      <c r="R36" s="4"/>
      <c r="S36" s="24">
        <f>533250+56453</f>
        <v>589703</v>
      </c>
    </row>
    <row r="37" spans="1:19" s="16" customFormat="1" ht="12.75">
      <c r="A37" s="42" t="s">
        <v>185</v>
      </c>
      <c r="B37" s="42"/>
      <c r="C37" s="24">
        <v>28034530</v>
      </c>
      <c r="D37" s="24"/>
      <c r="E37" s="24">
        <v>0</v>
      </c>
      <c r="F37" s="24"/>
      <c r="G37" s="24">
        <v>0</v>
      </c>
      <c r="H37" s="24"/>
      <c r="I37" s="24">
        <v>5009119</v>
      </c>
      <c r="J37" s="24"/>
      <c r="K37" s="24">
        <v>5147680</v>
      </c>
      <c r="L37" s="24"/>
      <c r="M37" s="24">
        <v>6780</v>
      </c>
      <c r="N37" s="21"/>
      <c r="O37" s="21">
        <f t="shared" si="1"/>
        <v>8947635</v>
      </c>
      <c r="P37" s="21"/>
      <c r="Q37" s="24">
        <v>47145744</v>
      </c>
      <c r="R37" s="4"/>
      <c r="S37" s="24">
        <f>24977+770000+82888</f>
        <v>877865</v>
      </c>
    </row>
    <row r="38" spans="1:19" s="16" customFormat="1" ht="12.75" hidden="1">
      <c r="A38" s="42" t="s">
        <v>258</v>
      </c>
      <c r="B38" s="4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1"/>
      <c r="O38" s="21">
        <f t="shared" si="1"/>
        <v>0</v>
      </c>
      <c r="P38" s="21"/>
      <c r="Q38" s="24"/>
      <c r="R38" s="4"/>
      <c r="S38" s="24"/>
    </row>
    <row r="39" spans="1:19" s="16" customFormat="1" ht="12.75" hidden="1">
      <c r="A39" s="42" t="s">
        <v>259</v>
      </c>
      <c r="B39" s="4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1"/>
      <c r="O39" s="21">
        <f t="shared" si="1"/>
        <v>0</v>
      </c>
      <c r="P39" s="21"/>
      <c r="Q39" s="24"/>
      <c r="R39" s="4"/>
      <c r="S39" s="24">
        <v>0</v>
      </c>
    </row>
    <row r="40" spans="1:19" s="16" customFormat="1" ht="12.75">
      <c r="A40" s="42" t="s">
        <v>38</v>
      </c>
      <c r="B40" s="42"/>
      <c r="C40" s="24">
        <v>1766678</v>
      </c>
      <c r="D40" s="24"/>
      <c r="E40" s="24">
        <v>5393549</v>
      </c>
      <c r="F40" s="24"/>
      <c r="G40" s="24">
        <v>0</v>
      </c>
      <c r="H40" s="24"/>
      <c r="I40" s="24">
        <v>4451892</v>
      </c>
      <c r="J40" s="24"/>
      <c r="K40" s="24">
        <v>2819491</v>
      </c>
      <c r="L40" s="24"/>
      <c r="M40" s="24">
        <v>0</v>
      </c>
      <c r="N40" s="21"/>
      <c r="O40" s="21">
        <f t="shared" si="1"/>
        <v>1467459</v>
      </c>
      <c r="P40" s="21"/>
      <c r="Q40" s="24">
        <v>15899069</v>
      </c>
      <c r="R40" s="4"/>
      <c r="S40" s="24">
        <v>9153</v>
      </c>
    </row>
    <row r="41" spans="1:19" s="16" customFormat="1" ht="12.75" hidden="1">
      <c r="A41" s="42" t="s">
        <v>168</v>
      </c>
      <c r="B41" s="4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1"/>
      <c r="O41" s="21">
        <f t="shared" si="1"/>
        <v>0</v>
      </c>
      <c r="P41" s="21"/>
      <c r="Q41" s="24"/>
      <c r="R41" s="4"/>
      <c r="S41" s="24"/>
    </row>
    <row r="42" spans="1:19" s="16" customFormat="1" ht="12.75" hidden="1">
      <c r="A42" s="42" t="s">
        <v>39</v>
      </c>
      <c r="B42" s="4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1"/>
      <c r="O42" s="21">
        <f t="shared" si="1"/>
        <v>0</v>
      </c>
      <c r="P42" s="21"/>
      <c r="Q42" s="24"/>
      <c r="R42" s="4"/>
      <c r="S42" s="24"/>
    </row>
    <row r="43" spans="1:19" s="16" customFormat="1" ht="12.75">
      <c r="A43" s="42" t="s">
        <v>40</v>
      </c>
      <c r="B43" s="42"/>
      <c r="C43" s="24">
        <v>2108977</v>
      </c>
      <c r="D43" s="24"/>
      <c r="E43" s="24">
        <v>2934324</v>
      </c>
      <c r="F43" s="24"/>
      <c r="G43" s="24">
        <v>0</v>
      </c>
      <c r="H43" s="24"/>
      <c r="I43" s="24">
        <v>824568</v>
      </c>
      <c r="J43" s="24"/>
      <c r="K43" s="24">
        <v>949905</v>
      </c>
      <c r="L43" s="24"/>
      <c r="M43" s="24">
        <v>0</v>
      </c>
      <c r="N43" s="21"/>
      <c r="O43" s="21">
        <f t="shared" si="1"/>
        <v>930046</v>
      </c>
      <c r="P43" s="21"/>
      <c r="Q43" s="24">
        <v>7747820</v>
      </c>
      <c r="R43" s="4"/>
      <c r="S43" s="24">
        <v>0</v>
      </c>
    </row>
    <row r="44" spans="1:19" s="16" customFormat="1" ht="12.75" hidden="1">
      <c r="A44" s="42" t="s">
        <v>41</v>
      </c>
      <c r="B44" s="42"/>
      <c r="C44" s="24">
        <v>0</v>
      </c>
      <c r="D44" s="24"/>
      <c r="E44" s="24">
        <v>0</v>
      </c>
      <c r="F44" s="24"/>
      <c r="G44" s="24">
        <v>0</v>
      </c>
      <c r="H44" s="24"/>
      <c r="I44" s="24">
        <v>0</v>
      </c>
      <c r="J44" s="24"/>
      <c r="K44" s="24">
        <v>0</v>
      </c>
      <c r="L44" s="24"/>
      <c r="M44" s="24">
        <v>0</v>
      </c>
      <c r="N44" s="21"/>
      <c r="O44" s="21">
        <f t="shared" si="1"/>
        <v>0</v>
      </c>
      <c r="P44" s="21"/>
      <c r="Q44" s="24">
        <v>0</v>
      </c>
      <c r="R44" s="4"/>
      <c r="S44" s="24">
        <v>0</v>
      </c>
    </row>
    <row r="45" spans="1:19" s="16" customFormat="1" ht="12.75">
      <c r="A45" s="42" t="s">
        <v>42</v>
      </c>
      <c r="B45" s="42"/>
      <c r="C45" s="24">
        <v>3920835</v>
      </c>
      <c r="D45" s="24"/>
      <c r="E45" s="24">
        <v>0</v>
      </c>
      <c r="F45" s="24"/>
      <c r="G45" s="24">
        <v>0</v>
      </c>
      <c r="H45" s="24"/>
      <c r="I45" s="24">
        <v>1106471</v>
      </c>
      <c r="J45" s="24"/>
      <c r="K45" s="24">
        <v>892150</v>
      </c>
      <c r="L45" s="24"/>
      <c r="M45" s="24">
        <v>0</v>
      </c>
      <c r="N45" s="21"/>
      <c r="O45" s="21">
        <f t="shared" si="1"/>
        <v>664881</v>
      </c>
      <c r="P45" s="21"/>
      <c r="Q45" s="24">
        <v>6584337</v>
      </c>
      <c r="R45" s="4"/>
      <c r="S45" s="24">
        <v>39681</v>
      </c>
    </row>
    <row r="46" spans="1:19" s="16" customFormat="1" ht="12.75">
      <c r="A46" s="42" t="s">
        <v>43</v>
      </c>
      <c r="B46" s="42"/>
      <c r="C46" s="24">
        <v>2292099</v>
      </c>
      <c r="D46" s="24"/>
      <c r="E46" s="24">
        <v>3881839</v>
      </c>
      <c r="F46" s="24"/>
      <c r="G46" s="24">
        <v>0</v>
      </c>
      <c r="H46" s="24"/>
      <c r="I46" s="24">
        <v>1736411</v>
      </c>
      <c r="J46" s="24"/>
      <c r="K46" s="24">
        <v>1033071</v>
      </c>
      <c r="L46" s="24"/>
      <c r="M46" s="24">
        <v>0</v>
      </c>
      <c r="N46" s="21"/>
      <c r="O46" s="21">
        <f t="shared" si="1"/>
        <v>1287855</v>
      </c>
      <c r="P46" s="21"/>
      <c r="Q46" s="24">
        <v>10231275</v>
      </c>
      <c r="R46" s="4"/>
      <c r="S46" s="24">
        <v>407399</v>
      </c>
    </row>
    <row r="47" spans="1:19" s="16" customFormat="1" ht="12.75">
      <c r="A47" s="42" t="s">
        <v>44</v>
      </c>
      <c r="B47" s="42"/>
      <c r="C47" s="24">
        <v>10084851</v>
      </c>
      <c r="D47" s="24"/>
      <c r="E47" s="24">
        <v>0</v>
      </c>
      <c r="F47" s="24"/>
      <c r="G47" s="24">
        <v>0</v>
      </c>
      <c r="H47" s="24"/>
      <c r="I47" s="24">
        <v>1144013</v>
      </c>
      <c r="J47" s="24"/>
      <c r="K47" s="24">
        <v>1117273</v>
      </c>
      <c r="L47" s="24"/>
      <c r="M47" s="24">
        <v>0</v>
      </c>
      <c r="N47" s="21"/>
      <c r="O47" s="21">
        <f t="shared" si="1"/>
        <v>1897535</v>
      </c>
      <c r="P47" s="21"/>
      <c r="Q47" s="24">
        <v>14243672</v>
      </c>
      <c r="R47" s="4"/>
      <c r="S47" s="24">
        <v>11000</v>
      </c>
    </row>
    <row r="48" spans="1:19" s="16" customFormat="1" ht="12.75" hidden="1">
      <c r="A48" s="42" t="s">
        <v>255</v>
      </c>
      <c r="B48" s="4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1"/>
      <c r="O48" s="21">
        <f t="shared" si="1"/>
        <v>0</v>
      </c>
      <c r="P48" s="21"/>
      <c r="Q48" s="24"/>
      <c r="R48" s="4"/>
      <c r="S48" s="24"/>
    </row>
    <row r="49" spans="1:19" s="16" customFormat="1" ht="12.75">
      <c r="A49" s="42" t="s">
        <v>46</v>
      </c>
      <c r="B49" s="42"/>
      <c r="C49" s="24">
        <v>1901968</v>
      </c>
      <c r="D49" s="24"/>
      <c r="E49" s="24">
        <v>4422764</v>
      </c>
      <c r="F49" s="24"/>
      <c r="G49" s="24">
        <v>0</v>
      </c>
      <c r="H49" s="24"/>
      <c r="I49" s="24">
        <v>2601111</v>
      </c>
      <c r="J49" s="24"/>
      <c r="K49" s="24">
        <v>3011880</v>
      </c>
      <c r="L49" s="24"/>
      <c r="M49" s="24">
        <v>0</v>
      </c>
      <c r="N49" s="21"/>
      <c r="O49" s="21">
        <f t="shared" si="1"/>
        <v>1095371</v>
      </c>
      <c r="P49" s="21"/>
      <c r="Q49" s="24">
        <v>13033094</v>
      </c>
      <c r="R49" s="4"/>
      <c r="S49" s="24">
        <v>110290</v>
      </c>
    </row>
    <row r="50" spans="1:19" s="16" customFormat="1" ht="12.75">
      <c r="A50" s="42" t="s">
        <v>47</v>
      </c>
      <c r="B50" s="42"/>
      <c r="C50" s="24">
        <v>8007183</v>
      </c>
      <c r="D50" s="24"/>
      <c r="E50" s="24">
        <v>0</v>
      </c>
      <c r="F50" s="24"/>
      <c r="G50" s="24">
        <v>0</v>
      </c>
      <c r="H50" s="24"/>
      <c r="I50" s="24">
        <v>1808078</v>
      </c>
      <c r="J50" s="24"/>
      <c r="K50" s="24">
        <v>1634239</v>
      </c>
      <c r="L50" s="24"/>
      <c r="M50" s="24">
        <v>0</v>
      </c>
      <c r="N50" s="21"/>
      <c r="O50" s="21">
        <f t="shared" si="1"/>
        <v>1779818</v>
      </c>
      <c r="P50" s="21"/>
      <c r="Q50" s="24">
        <v>13229318</v>
      </c>
      <c r="R50" s="4"/>
      <c r="S50" s="24">
        <v>320685</v>
      </c>
    </row>
    <row r="51" spans="1:19" s="16" customFormat="1" ht="12.75">
      <c r="A51" s="42" t="s">
        <v>48</v>
      </c>
      <c r="B51" s="42"/>
      <c r="C51" s="24">
        <v>12339463</v>
      </c>
      <c r="D51" s="24"/>
      <c r="E51" s="24">
        <v>15469562</v>
      </c>
      <c r="F51" s="24"/>
      <c r="G51" s="24">
        <v>4815055</v>
      </c>
      <c r="H51" s="24"/>
      <c r="I51" s="24">
        <v>6551322</v>
      </c>
      <c r="J51" s="24"/>
      <c r="K51" s="24">
        <v>5348171</v>
      </c>
      <c r="L51" s="24"/>
      <c r="M51" s="24">
        <v>0</v>
      </c>
      <c r="N51" s="21"/>
      <c r="O51" s="21">
        <f t="shared" si="1"/>
        <v>12767869</v>
      </c>
      <c r="P51" s="21"/>
      <c r="Q51" s="24">
        <v>57291442</v>
      </c>
      <c r="R51" s="4"/>
      <c r="S51" s="24">
        <f>1263656+15410</f>
        <v>1279066</v>
      </c>
    </row>
    <row r="52" spans="1:19" s="16" customFormat="1" ht="12.75" hidden="1">
      <c r="A52" s="42" t="s">
        <v>170</v>
      </c>
      <c r="B52" s="42"/>
      <c r="C52" s="24">
        <v>0</v>
      </c>
      <c r="D52" s="24"/>
      <c r="E52" s="24">
        <v>0</v>
      </c>
      <c r="F52" s="24"/>
      <c r="G52" s="24">
        <v>0</v>
      </c>
      <c r="H52" s="24"/>
      <c r="I52" s="24">
        <v>0</v>
      </c>
      <c r="J52" s="24"/>
      <c r="K52" s="24">
        <v>0</v>
      </c>
      <c r="L52" s="24"/>
      <c r="M52" s="24">
        <v>0</v>
      </c>
      <c r="N52" s="21"/>
      <c r="O52" s="21">
        <f t="shared" si="1"/>
        <v>0</v>
      </c>
      <c r="P52" s="21"/>
      <c r="Q52" s="24">
        <v>0</v>
      </c>
      <c r="R52" s="4"/>
      <c r="S52" s="24">
        <v>0</v>
      </c>
    </row>
    <row r="53" spans="1:19" s="16" customFormat="1" ht="12.75">
      <c r="A53" s="42" t="s">
        <v>49</v>
      </c>
      <c r="B53" s="42"/>
      <c r="C53" s="24">
        <v>30806568</v>
      </c>
      <c r="D53" s="24"/>
      <c r="E53" s="24">
        <v>0</v>
      </c>
      <c r="F53" s="24"/>
      <c r="G53" s="24">
        <v>0</v>
      </c>
      <c r="H53" s="24"/>
      <c r="I53" s="24">
        <v>4422776</v>
      </c>
      <c r="J53" s="24"/>
      <c r="K53" s="24">
        <v>4861197</v>
      </c>
      <c r="L53" s="24"/>
      <c r="M53" s="24">
        <v>3604009</v>
      </c>
      <c r="N53" s="21"/>
      <c r="O53" s="21">
        <f t="shared" si="1"/>
        <v>1805531</v>
      </c>
      <c r="P53" s="21"/>
      <c r="Q53" s="24">
        <v>45500081</v>
      </c>
      <c r="R53" s="4"/>
      <c r="S53" s="24">
        <f>29731+117430</f>
        <v>147161</v>
      </c>
    </row>
    <row r="54" spans="1:19" s="16" customFormat="1" ht="12.75">
      <c r="A54" s="42" t="s">
        <v>50</v>
      </c>
      <c r="B54" s="42"/>
      <c r="C54" s="24">
        <v>7988764</v>
      </c>
      <c r="D54" s="24"/>
      <c r="E54" s="24">
        <v>0</v>
      </c>
      <c r="F54" s="24"/>
      <c r="G54" s="24">
        <v>0</v>
      </c>
      <c r="H54" s="24"/>
      <c r="I54" s="24">
        <v>2297011</v>
      </c>
      <c r="J54" s="24"/>
      <c r="K54" s="24">
        <v>3439151</v>
      </c>
      <c r="L54" s="24"/>
      <c r="M54" s="24">
        <v>0</v>
      </c>
      <c r="N54" s="21"/>
      <c r="O54" s="21">
        <f t="shared" si="1"/>
        <v>1669640</v>
      </c>
      <c r="P54" s="21"/>
      <c r="Q54" s="24">
        <v>15394566</v>
      </c>
      <c r="R54" s="4"/>
      <c r="S54" s="24">
        <v>0</v>
      </c>
    </row>
    <row r="55" spans="1:19" s="16" customFormat="1" ht="12.75">
      <c r="A55" s="42" t="s">
        <v>260</v>
      </c>
      <c r="B55" s="42"/>
      <c r="C55" s="24">
        <v>8820076</v>
      </c>
      <c r="D55" s="24"/>
      <c r="E55" s="24">
        <v>15353843</v>
      </c>
      <c r="F55" s="24"/>
      <c r="G55" s="24">
        <v>0</v>
      </c>
      <c r="H55" s="24"/>
      <c r="I55" s="24">
        <v>2125284</v>
      </c>
      <c r="J55" s="24"/>
      <c r="K55" s="24">
        <v>10254131</v>
      </c>
      <c r="L55" s="24"/>
      <c r="M55" s="24">
        <v>0</v>
      </c>
      <c r="N55" s="21"/>
      <c r="O55" s="21">
        <f t="shared" si="1"/>
        <v>21715369</v>
      </c>
      <c r="P55" s="21"/>
      <c r="Q55" s="24">
        <v>58268703</v>
      </c>
      <c r="R55" s="4"/>
      <c r="S55" s="24">
        <v>0</v>
      </c>
    </row>
    <row r="56" spans="1:19" s="16" customFormat="1" ht="12.75">
      <c r="A56" s="42" t="s">
        <v>186</v>
      </c>
      <c r="B56" s="42"/>
      <c r="C56" s="24">
        <v>93305000</v>
      </c>
      <c r="D56" s="24"/>
      <c r="E56" s="24">
        <v>0</v>
      </c>
      <c r="F56" s="24"/>
      <c r="G56" s="24">
        <v>0</v>
      </c>
      <c r="H56" s="24"/>
      <c r="I56" s="24">
        <v>14304000</v>
      </c>
      <c r="J56" s="24"/>
      <c r="K56" s="24">
        <v>19864000</v>
      </c>
      <c r="L56" s="24"/>
      <c r="M56" s="24">
        <v>30000</v>
      </c>
      <c r="N56" s="21"/>
      <c r="O56" s="21">
        <f t="shared" si="1"/>
        <v>14864000</v>
      </c>
      <c r="P56" s="21"/>
      <c r="Q56" s="24">
        <v>142367000</v>
      </c>
      <c r="R56" s="4"/>
      <c r="S56" s="24">
        <v>0</v>
      </c>
    </row>
    <row r="57" spans="1:19" s="16" customFormat="1" ht="12.75" hidden="1">
      <c r="A57" s="42" t="s">
        <v>52</v>
      </c>
      <c r="B57" s="42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1"/>
      <c r="O57" s="21">
        <f t="shared" si="1"/>
        <v>0</v>
      </c>
      <c r="P57" s="21"/>
      <c r="Q57" s="24"/>
      <c r="R57" s="4"/>
      <c r="S57" s="24"/>
    </row>
    <row r="58" spans="1:19" s="16" customFormat="1" ht="12.75">
      <c r="A58" s="42" t="s">
        <v>53</v>
      </c>
      <c r="B58" s="42"/>
      <c r="C58" s="24">
        <v>4099724</v>
      </c>
      <c r="D58" s="24"/>
      <c r="E58" s="24">
        <v>27620917</v>
      </c>
      <c r="F58" s="24"/>
      <c r="G58" s="24">
        <v>0</v>
      </c>
      <c r="H58" s="24"/>
      <c r="I58" s="24">
        <v>1655004</v>
      </c>
      <c r="J58" s="24"/>
      <c r="K58" s="24">
        <v>6604144</v>
      </c>
      <c r="L58" s="24"/>
      <c r="M58" s="24">
        <v>0</v>
      </c>
      <c r="N58" s="21"/>
      <c r="O58" s="21">
        <f t="shared" si="1"/>
        <v>15220382</v>
      </c>
      <c r="P58" s="21"/>
      <c r="Q58" s="24">
        <v>55200171</v>
      </c>
      <c r="R58" s="4"/>
      <c r="S58" s="24">
        <f>19125+1159591+1181921</f>
        <v>2360637</v>
      </c>
    </row>
    <row r="59" spans="1:19" s="16" customFormat="1" ht="12.75">
      <c r="A59" s="42" t="s">
        <v>54</v>
      </c>
      <c r="B59" s="42"/>
      <c r="C59" s="24">
        <v>2166458</v>
      </c>
      <c r="D59" s="24"/>
      <c r="E59" s="24">
        <v>6499806</v>
      </c>
      <c r="F59" s="24"/>
      <c r="G59" s="24">
        <v>0</v>
      </c>
      <c r="H59" s="24"/>
      <c r="I59" s="24">
        <v>3333019</v>
      </c>
      <c r="J59" s="24"/>
      <c r="K59" s="24">
        <v>1862438</v>
      </c>
      <c r="L59" s="24"/>
      <c r="M59" s="24">
        <v>0</v>
      </c>
      <c r="N59" s="21"/>
      <c r="O59" s="21">
        <f t="shared" si="1"/>
        <v>2246187</v>
      </c>
      <c r="P59" s="21"/>
      <c r="Q59" s="24">
        <v>16107908</v>
      </c>
      <c r="R59" s="4"/>
      <c r="S59" s="24">
        <v>45659</v>
      </c>
    </row>
    <row r="60" spans="1:19" s="16" customFormat="1" ht="12.75">
      <c r="A60" s="42" t="s">
        <v>55</v>
      </c>
      <c r="B60" s="42"/>
      <c r="C60" s="24">
        <v>10905227</v>
      </c>
      <c r="D60" s="24"/>
      <c r="E60" s="24">
        <v>9557722</v>
      </c>
      <c r="F60" s="24"/>
      <c r="G60" s="24">
        <v>926947</v>
      </c>
      <c r="H60" s="24"/>
      <c r="I60" s="24">
        <v>7823148</v>
      </c>
      <c r="J60" s="24"/>
      <c r="K60" s="24">
        <v>5327286</v>
      </c>
      <c r="L60" s="24"/>
      <c r="M60" s="24">
        <v>0</v>
      </c>
      <c r="N60" s="21"/>
      <c r="O60" s="21">
        <f t="shared" si="1"/>
        <v>5935670</v>
      </c>
      <c r="P60" s="21"/>
      <c r="Q60" s="24">
        <v>40476000</v>
      </c>
      <c r="R60" s="4"/>
      <c r="S60" s="24">
        <v>30814</v>
      </c>
    </row>
    <row r="61" spans="1:19" s="16" customFormat="1" ht="12.75" hidden="1">
      <c r="A61" s="42" t="s">
        <v>171</v>
      </c>
      <c r="B61" s="42"/>
      <c r="C61" s="24">
        <v>0</v>
      </c>
      <c r="D61" s="24"/>
      <c r="E61" s="24">
        <v>0</v>
      </c>
      <c r="F61" s="24"/>
      <c r="G61" s="24">
        <v>0</v>
      </c>
      <c r="H61" s="24"/>
      <c r="I61" s="24">
        <v>0</v>
      </c>
      <c r="J61" s="24"/>
      <c r="K61" s="24">
        <v>0</v>
      </c>
      <c r="L61" s="24"/>
      <c r="M61" s="24">
        <v>0</v>
      </c>
      <c r="N61" s="21"/>
      <c r="O61" s="21">
        <f t="shared" si="1"/>
        <v>0</v>
      </c>
      <c r="P61" s="21"/>
      <c r="Q61" s="24">
        <v>0</v>
      </c>
      <c r="R61" s="4"/>
      <c r="S61" s="24">
        <v>0</v>
      </c>
    </row>
    <row r="62" spans="1:19" s="16" customFormat="1" ht="12.75" hidden="1">
      <c r="A62" s="42" t="s">
        <v>56</v>
      </c>
      <c r="B62" s="42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1"/>
      <c r="O62" s="21">
        <f t="shared" si="1"/>
        <v>0</v>
      </c>
      <c r="P62" s="21"/>
      <c r="Q62" s="24"/>
      <c r="R62" s="4"/>
      <c r="S62" s="24"/>
    </row>
    <row r="63" spans="1:19" s="16" customFormat="1" ht="12.75">
      <c r="A63" s="42" t="s">
        <v>57</v>
      </c>
      <c r="B63" s="42"/>
      <c r="C63" s="24">
        <v>12711052</v>
      </c>
      <c r="D63" s="24"/>
      <c r="E63" s="24">
        <v>0</v>
      </c>
      <c r="F63" s="24"/>
      <c r="G63" s="24">
        <v>0</v>
      </c>
      <c r="H63" s="24"/>
      <c r="I63" s="24">
        <v>4575243</v>
      </c>
      <c r="J63" s="24"/>
      <c r="K63" s="24">
        <v>2776778</v>
      </c>
      <c r="L63" s="24"/>
      <c r="M63" s="24">
        <v>0</v>
      </c>
      <c r="N63" s="21"/>
      <c r="O63" s="21">
        <f t="shared" si="1"/>
        <v>5756345</v>
      </c>
      <c r="P63" s="21"/>
      <c r="Q63" s="24">
        <v>25819418</v>
      </c>
      <c r="R63" s="4"/>
      <c r="S63" s="24">
        <f>26240+80805</f>
        <v>107045</v>
      </c>
    </row>
    <row r="64" spans="1:19" s="16" customFormat="1" ht="12.75">
      <c r="A64" s="42" t="s">
        <v>58</v>
      </c>
      <c r="B64" s="42"/>
      <c r="C64" s="24">
        <v>732710</v>
      </c>
      <c r="D64" s="24"/>
      <c r="E64" s="24">
        <v>1206720</v>
      </c>
      <c r="F64" s="24"/>
      <c r="G64" s="24">
        <v>0</v>
      </c>
      <c r="H64" s="24"/>
      <c r="I64" s="24">
        <v>937963</v>
      </c>
      <c r="J64" s="24"/>
      <c r="K64" s="24">
        <v>601698</v>
      </c>
      <c r="L64" s="24"/>
      <c r="M64" s="24">
        <v>0</v>
      </c>
      <c r="N64" s="21"/>
      <c r="O64" s="21">
        <f t="shared" si="1"/>
        <v>476212</v>
      </c>
      <c r="P64" s="21"/>
      <c r="Q64" s="24">
        <v>3955303</v>
      </c>
      <c r="R64" s="4"/>
      <c r="S64" s="24">
        <v>6500</v>
      </c>
    </row>
    <row r="65" spans="1:19" s="16" customFormat="1" ht="12.75">
      <c r="A65" s="42" t="s">
        <v>59</v>
      </c>
      <c r="B65" s="42"/>
      <c r="C65" s="24">
        <v>16476672</v>
      </c>
      <c r="D65" s="24"/>
      <c r="E65" s="24">
        <v>64734278</v>
      </c>
      <c r="F65" s="24"/>
      <c r="G65" s="24">
        <v>2082055</v>
      </c>
      <c r="H65" s="24"/>
      <c r="I65" s="24">
        <v>19856062</v>
      </c>
      <c r="J65" s="24"/>
      <c r="K65" s="24">
        <v>21793098</v>
      </c>
      <c r="L65" s="24"/>
      <c r="M65" s="24">
        <v>0</v>
      </c>
      <c r="N65" s="21"/>
      <c r="O65" s="21">
        <f t="shared" si="1"/>
        <v>25356197</v>
      </c>
      <c r="P65" s="21"/>
      <c r="Q65" s="24">
        <v>150298362</v>
      </c>
      <c r="R65" s="4"/>
      <c r="S65" s="24">
        <f>38841+22139+2648788</f>
        <v>2709768</v>
      </c>
    </row>
    <row r="66" spans="1:19" s="16" customFormat="1" ht="12.75" hidden="1">
      <c r="A66" s="42" t="s">
        <v>60</v>
      </c>
      <c r="B66" s="42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1"/>
      <c r="O66" s="21">
        <f t="shared" si="1"/>
        <v>0</v>
      </c>
      <c r="P66" s="21"/>
      <c r="Q66" s="24"/>
      <c r="R66" s="4"/>
      <c r="S66" s="24"/>
    </row>
    <row r="67" spans="1:19" s="16" customFormat="1" ht="12.75">
      <c r="A67" s="42" t="s">
        <v>97</v>
      </c>
      <c r="B67" s="42"/>
      <c r="C67" s="24">
        <v>2383933</v>
      </c>
      <c r="D67" s="24"/>
      <c r="E67" s="24">
        <v>2659923</v>
      </c>
      <c r="F67" s="24"/>
      <c r="G67" s="24">
        <v>0</v>
      </c>
      <c r="H67" s="24"/>
      <c r="I67" s="24">
        <v>1283443</v>
      </c>
      <c r="J67" s="24"/>
      <c r="K67" s="24">
        <v>973885</v>
      </c>
      <c r="L67" s="24"/>
      <c r="M67" s="24">
        <v>0</v>
      </c>
      <c r="N67" s="21"/>
      <c r="O67" s="21">
        <f t="shared" si="1"/>
        <v>1468462</v>
      </c>
      <c r="P67" s="21"/>
      <c r="Q67" s="24">
        <v>8769646</v>
      </c>
      <c r="R67" s="4"/>
      <c r="S67" s="24">
        <v>9688</v>
      </c>
    </row>
    <row r="68" spans="1:19" s="16" customFormat="1" ht="12.75">
      <c r="A68" s="42" t="s">
        <v>61</v>
      </c>
      <c r="B68" s="42"/>
      <c r="C68" s="24">
        <v>2669003</v>
      </c>
      <c r="D68" s="24"/>
      <c r="E68" s="24">
        <v>14718402</v>
      </c>
      <c r="F68" s="24"/>
      <c r="G68" s="24">
        <v>192706</v>
      </c>
      <c r="H68" s="24"/>
      <c r="I68" s="24">
        <v>4538612</v>
      </c>
      <c r="J68" s="24"/>
      <c r="K68" s="24">
        <v>2323461</v>
      </c>
      <c r="L68" s="24"/>
      <c r="M68" s="24">
        <v>0</v>
      </c>
      <c r="N68" s="21"/>
      <c r="O68" s="21">
        <f t="shared" si="1"/>
        <v>3728568</v>
      </c>
      <c r="P68" s="21"/>
      <c r="Q68" s="24">
        <v>28170752</v>
      </c>
      <c r="R68" s="4"/>
      <c r="S68" s="24">
        <f>15959+206592</f>
        <v>222551</v>
      </c>
    </row>
    <row r="69" spans="1:19" s="16" customFormat="1" ht="12.75">
      <c r="A69" s="42" t="s">
        <v>62</v>
      </c>
      <c r="B69" s="42"/>
      <c r="C69" s="24">
        <v>567396</v>
      </c>
      <c r="D69" s="24"/>
      <c r="E69" s="24">
        <v>1005701</v>
      </c>
      <c r="F69" s="24"/>
      <c r="G69" s="24">
        <v>0</v>
      </c>
      <c r="H69" s="24"/>
      <c r="I69" s="24">
        <v>490048</v>
      </c>
      <c r="J69" s="24"/>
      <c r="K69" s="24">
        <v>392003</v>
      </c>
      <c r="L69" s="24"/>
      <c r="M69" s="24">
        <v>0</v>
      </c>
      <c r="N69" s="21"/>
      <c r="O69" s="21">
        <f t="shared" si="1"/>
        <v>385778</v>
      </c>
      <c r="P69" s="21"/>
      <c r="Q69" s="24">
        <v>2840926</v>
      </c>
      <c r="R69" s="4"/>
      <c r="S69" s="24">
        <v>0</v>
      </c>
    </row>
    <row r="70" spans="1:19" s="16" customFormat="1" ht="12.75">
      <c r="A70" s="42" t="s">
        <v>63</v>
      </c>
      <c r="B70" s="42"/>
      <c r="C70" s="24">
        <v>2850920</v>
      </c>
      <c r="D70" s="24"/>
      <c r="E70" s="24">
        <v>5510889</v>
      </c>
      <c r="F70" s="24"/>
      <c r="G70" s="24">
        <v>0</v>
      </c>
      <c r="H70" s="24"/>
      <c r="I70" s="24">
        <v>1946403</v>
      </c>
      <c r="J70" s="24"/>
      <c r="K70" s="24">
        <v>1477203</v>
      </c>
      <c r="L70" s="24"/>
      <c r="M70" s="24">
        <v>0</v>
      </c>
      <c r="N70" s="21"/>
      <c r="O70" s="21">
        <f>Q70-C70-E70-G70-I70-K70-M70</f>
        <v>3802995</v>
      </c>
      <c r="P70" s="21"/>
      <c r="Q70" s="24">
        <v>15588410</v>
      </c>
      <c r="R70" s="4"/>
      <c r="S70" s="24">
        <v>12240</v>
      </c>
    </row>
    <row r="72" spans="1:19" s="16" customFormat="1" ht="12.75" hidden="1">
      <c r="A72" s="42" t="s">
        <v>132</v>
      </c>
      <c r="B72" s="42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1"/>
      <c r="O72" s="21">
        <f t="shared" si="1"/>
        <v>0</v>
      </c>
      <c r="P72" s="21"/>
      <c r="Q72" s="24"/>
      <c r="R72" s="4"/>
      <c r="S72" s="24"/>
    </row>
    <row r="73" spans="1:19" s="16" customFormat="1" ht="12.75" hidden="1">
      <c r="A73" s="42" t="s">
        <v>64</v>
      </c>
      <c r="B73" s="42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1"/>
      <c r="O73" s="21">
        <f t="shared" si="1"/>
        <v>0</v>
      </c>
      <c r="P73" s="21"/>
      <c r="Q73" s="24"/>
      <c r="R73" s="4"/>
      <c r="S73" s="24"/>
    </row>
    <row r="74" spans="1:19" s="16" customFormat="1" ht="12.75">
      <c r="A74" s="42" t="s">
        <v>237</v>
      </c>
      <c r="B74" s="42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1"/>
      <c r="O74" s="21"/>
      <c r="P74" s="21"/>
      <c r="Q74" s="24" t="s">
        <v>261</v>
      </c>
      <c r="R74" s="4"/>
      <c r="S74" s="24"/>
    </row>
    <row r="75" spans="1:19" s="16" customFormat="1" ht="12.75">
      <c r="A75" s="42" t="s">
        <v>65</v>
      </c>
      <c r="B75" s="42"/>
      <c r="C75" s="56">
        <v>2753808</v>
      </c>
      <c r="D75" s="56"/>
      <c r="E75" s="56">
        <v>5400226</v>
      </c>
      <c r="F75" s="56"/>
      <c r="G75" s="56">
        <v>0</v>
      </c>
      <c r="H75" s="56"/>
      <c r="I75" s="56">
        <v>2226529</v>
      </c>
      <c r="J75" s="56"/>
      <c r="K75" s="56">
        <v>1271029</v>
      </c>
      <c r="L75" s="56"/>
      <c r="M75" s="56">
        <v>0</v>
      </c>
      <c r="N75" s="41"/>
      <c r="O75" s="41">
        <f t="shared" si="1"/>
        <v>1654137</v>
      </c>
      <c r="P75" s="41"/>
      <c r="Q75" s="56">
        <v>13305729</v>
      </c>
      <c r="R75" s="4"/>
      <c r="S75" s="56">
        <v>109000</v>
      </c>
    </row>
    <row r="76" spans="1:19" s="16" customFormat="1" ht="12.75">
      <c r="A76" s="42" t="s">
        <v>66</v>
      </c>
      <c r="B76" s="42"/>
      <c r="C76" s="24">
        <v>4966750</v>
      </c>
      <c r="D76" s="24"/>
      <c r="E76" s="24">
        <v>0</v>
      </c>
      <c r="F76" s="24"/>
      <c r="G76" s="24">
        <v>65360</v>
      </c>
      <c r="H76" s="24"/>
      <c r="I76" s="24">
        <v>751096</v>
      </c>
      <c r="J76" s="24"/>
      <c r="K76" s="24">
        <v>500963</v>
      </c>
      <c r="L76" s="24"/>
      <c r="M76" s="24">
        <v>0</v>
      </c>
      <c r="N76" s="21"/>
      <c r="O76" s="21">
        <f t="shared" si="1"/>
        <v>1102514</v>
      </c>
      <c r="P76" s="21"/>
      <c r="Q76" s="24">
        <v>7386683</v>
      </c>
      <c r="R76" s="4"/>
      <c r="S76" s="24">
        <v>0</v>
      </c>
    </row>
    <row r="77" spans="1:19" s="16" customFormat="1" ht="12.75">
      <c r="A77" s="42" t="s">
        <v>67</v>
      </c>
      <c r="B77" s="42"/>
      <c r="C77" s="24">
        <v>4372744</v>
      </c>
      <c r="D77" s="24"/>
      <c r="E77" s="24">
        <v>14386517</v>
      </c>
      <c r="F77" s="24"/>
      <c r="G77" s="24">
        <v>0</v>
      </c>
      <c r="H77" s="24"/>
      <c r="I77" s="24">
        <v>8196015</v>
      </c>
      <c r="J77" s="24"/>
      <c r="K77" s="24">
        <v>3704507</v>
      </c>
      <c r="L77" s="24"/>
      <c r="M77" s="24">
        <v>0</v>
      </c>
      <c r="N77" s="21"/>
      <c r="O77" s="21">
        <f aca="true" t="shared" si="2" ref="O77:O98">Q77-C77-E77-G77-I77-K77-M77</f>
        <v>5411581</v>
      </c>
      <c r="P77" s="21"/>
      <c r="Q77" s="24">
        <v>36071364</v>
      </c>
      <c r="R77" s="4"/>
      <c r="S77" s="24">
        <v>0</v>
      </c>
    </row>
    <row r="78" spans="1:19" s="16" customFormat="1" ht="12.75">
      <c r="A78" s="42" t="s">
        <v>68</v>
      </c>
      <c r="B78" s="42"/>
      <c r="C78" s="24">
        <v>1957635</v>
      </c>
      <c r="D78" s="24"/>
      <c r="E78" s="24">
        <v>4388892</v>
      </c>
      <c r="F78" s="24"/>
      <c r="G78" s="24">
        <v>0</v>
      </c>
      <c r="H78" s="24"/>
      <c r="I78" s="24">
        <v>1636153</v>
      </c>
      <c r="J78" s="24"/>
      <c r="K78" s="24">
        <v>1173066</v>
      </c>
      <c r="L78" s="24"/>
      <c r="M78" s="24">
        <v>0</v>
      </c>
      <c r="N78" s="21"/>
      <c r="O78" s="21">
        <f t="shared" si="2"/>
        <v>1156292</v>
      </c>
      <c r="P78" s="21"/>
      <c r="Q78" s="24">
        <v>10312038</v>
      </c>
      <c r="R78" s="4"/>
      <c r="S78" s="24">
        <v>0</v>
      </c>
    </row>
    <row r="79" spans="1:19" s="16" customFormat="1" ht="12.75" hidden="1">
      <c r="A79" s="42" t="s">
        <v>176</v>
      </c>
      <c r="B79" s="42"/>
      <c r="C79" s="24">
        <v>0</v>
      </c>
      <c r="D79" s="24"/>
      <c r="E79" s="24">
        <v>0</v>
      </c>
      <c r="F79" s="24"/>
      <c r="G79" s="24">
        <v>0</v>
      </c>
      <c r="H79" s="24"/>
      <c r="I79" s="24">
        <v>0</v>
      </c>
      <c r="J79" s="24"/>
      <c r="K79" s="24">
        <v>0</v>
      </c>
      <c r="L79" s="24"/>
      <c r="M79" s="24">
        <v>0</v>
      </c>
      <c r="N79" s="21"/>
      <c r="O79" s="21">
        <f t="shared" si="2"/>
        <v>0</v>
      </c>
      <c r="P79" s="21"/>
      <c r="Q79" s="24">
        <v>0</v>
      </c>
      <c r="R79" s="4"/>
      <c r="S79" s="24">
        <v>0</v>
      </c>
    </row>
    <row r="80" spans="1:19" s="16" customFormat="1" ht="12.75">
      <c r="A80" s="42" t="s">
        <v>181</v>
      </c>
      <c r="B80" s="42"/>
      <c r="C80" s="24">
        <v>4292693</v>
      </c>
      <c r="D80" s="24"/>
      <c r="E80" s="24">
        <v>14750763</v>
      </c>
      <c r="F80" s="24"/>
      <c r="G80" s="24">
        <v>0</v>
      </c>
      <c r="H80" s="24"/>
      <c r="I80" s="24">
        <v>3292517</v>
      </c>
      <c r="J80" s="24"/>
      <c r="K80" s="24">
        <v>5747729</v>
      </c>
      <c r="L80" s="24"/>
      <c r="M80" s="24">
        <v>0</v>
      </c>
      <c r="N80" s="21"/>
      <c r="O80" s="21">
        <f t="shared" si="2"/>
        <v>3588796</v>
      </c>
      <c r="P80" s="21"/>
      <c r="Q80" s="24">
        <v>31672498</v>
      </c>
      <c r="R80" s="4"/>
      <c r="S80" s="24">
        <v>545792</v>
      </c>
    </row>
    <row r="81" spans="1:19" s="16" customFormat="1" ht="12.75">
      <c r="A81" s="42" t="s">
        <v>69</v>
      </c>
      <c r="B81" s="42"/>
      <c r="C81" s="24">
        <v>1980317</v>
      </c>
      <c r="D81" s="24"/>
      <c r="E81" s="24">
        <v>11219814</v>
      </c>
      <c r="F81" s="24"/>
      <c r="G81" s="24">
        <v>0</v>
      </c>
      <c r="H81" s="24"/>
      <c r="I81" s="24">
        <v>1970241</v>
      </c>
      <c r="J81" s="24"/>
      <c r="K81" s="24">
        <v>1962139</v>
      </c>
      <c r="L81" s="24"/>
      <c r="M81" s="24">
        <v>0</v>
      </c>
      <c r="N81" s="21"/>
      <c r="O81" s="21">
        <f t="shared" si="2"/>
        <v>1809238</v>
      </c>
      <c r="P81" s="21"/>
      <c r="Q81" s="24">
        <v>18941749</v>
      </c>
      <c r="R81" s="4"/>
      <c r="S81" s="24">
        <f>32505+112808</f>
        <v>145313</v>
      </c>
    </row>
    <row r="82" spans="1:19" s="16" customFormat="1" ht="12.75">
      <c r="A82" s="42" t="s">
        <v>98</v>
      </c>
      <c r="B82" s="42"/>
      <c r="C82" s="24">
        <v>2819023</v>
      </c>
      <c r="D82" s="24"/>
      <c r="E82" s="24">
        <v>5951462</v>
      </c>
      <c r="F82" s="24"/>
      <c r="G82" s="24">
        <v>0</v>
      </c>
      <c r="H82" s="24"/>
      <c r="I82" s="24">
        <v>2084805</v>
      </c>
      <c r="J82" s="24"/>
      <c r="K82" s="24">
        <v>1869523</v>
      </c>
      <c r="L82" s="24"/>
      <c r="M82" s="24">
        <v>0</v>
      </c>
      <c r="N82" s="21"/>
      <c r="O82" s="21">
        <f t="shared" si="2"/>
        <v>2843079</v>
      </c>
      <c r="P82" s="21"/>
      <c r="Q82" s="24">
        <v>15567892</v>
      </c>
      <c r="R82" s="4"/>
      <c r="S82" s="24">
        <v>5517</v>
      </c>
    </row>
    <row r="83" spans="1:19" s="16" customFormat="1" ht="12.75">
      <c r="A83" s="42" t="s">
        <v>70</v>
      </c>
      <c r="B83" s="42"/>
      <c r="C83" s="24">
        <v>2048267</v>
      </c>
      <c r="D83" s="24"/>
      <c r="E83" s="24">
        <v>8744475</v>
      </c>
      <c r="F83" s="24"/>
      <c r="G83" s="24">
        <v>524</v>
      </c>
      <c r="H83" s="24"/>
      <c r="I83" s="24">
        <v>1522995</v>
      </c>
      <c r="J83" s="24"/>
      <c r="K83" s="24">
        <v>1813422</v>
      </c>
      <c r="L83" s="24"/>
      <c r="M83" s="24">
        <v>0</v>
      </c>
      <c r="N83" s="21"/>
      <c r="O83" s="21">
        <f t="shared" si="2"/>
        <v>1149122</v>
      </c>
      <c r="P83" s="21"/>
      <c r="Q83" s="24">
        <v>15278805</v>
      </c>
      <c r="R83" s="4"/>
      <c r="S83" s="24">
        <f>119574+9825</f>
        <v>129399</v>
      </c>
    </row>
    <row r="84" spans="1:19" s="16" customFormat="1" ht="12.75">
      <c r="A84" s="42" t="s">
        <v>71</v>
      </c>
      <c r="B84" s="42"/>
      <c r="C84" s="24">
        <v>2142417</v>
      </c>
      <c r="D84" s="24"/>
      <c r="E84" s="24">
        <v>6831027</v>
      </c>
      <c r="F84" s="24"/>
      <c r="G84" s="24">
        <v>0</v>
      </c>
      <c r="H84" s="24"/>
      <c r="I84" s="24">
        <v>1572233</v>
      </c>
      <c r="J84" s="24"/>
      <c r="K84" s="24">
        <v>3399995</v>
      </c>
      <c r="L84" s="24"/>
      <c r="M84" s="24">
        <v>0</v>
      </c>
      <c r="N84" s="21"/>
      <c r="O84" s="21">
        <f t="shared" si="2"/>
        <v>2111751</v>
      </c>
      <c r="P84" s="21"/>
      <c r="Q84" s="24">
        <v>16057423</v>
      </c>
      <c r="R84" s="4"/>
      <c r="S84" s="24">
        <f>453+575</f>
        <v>1028</v>
      </c>
    </row>
    <row r="85" spans="1:19" s="16" customFormat="1" ht="12.75">
      <c r="A85" s="42" t="s">
        <v>72</v>
      </c>
      <c r="B85" s="42"/>
      <c r="C85" s="24">
        <v>2233988</v>
      </c>
      <c r="D85" s="24"/>
      <c r="E85" s="24">
        <v>4015831</v>
      </c>
      <c r="F85" s="24"/>
      <c r="G85" s="24">
        <v>0</v>
      </c>
      <c r="H85" s="24"/>
      <c r="I85" s="24">
        <v>2484852</v>
      </c>
      <c r="J85" s="24"/>
      <c r="K85" s="24">
        <v>1902075</v>
      </c>
      <c r="L85" s="24"/>
      <c r="M85" s="24">
        <v>0</v>
      </c>
      <c r="N85" s="21"/>
      <c r="O85" s="21">
        <f t="shared" si="2"/>
        <v>1257146</v>
      </c>
      <c r="P85" s="21"/>
      <c r="Q85" s="24">
        <v>11893892</v>
      </c>
      <c r="R85" s="4"/>
      <c r="S85" s="24">
        <f>15062+40875+92358</f>
        <v>148295</v>
      </c>
    </row>
    <row r="86" spans="1:19" s="16" customFormat="1" ht="12.75">
      <c r="A86" s="42" t="s">
        <v>73</v>
      </c>
      <c r="B86" s="42"/>
      <c r="C86" s="24">
        <v>14382548</v>
      </c>
      <c r="D86" s="24"/>
      <c r="E86" s="24">
        <v>11506508</v>
      </c>
      <c r="F86" s="24"/>
      <c r="G86" s="24">
        <v>0</v>
      </c>
      <c r="H86" s="24"/>
      <c r="I86" s="24">
        <v>14886803</v>
      </c>
      <c r="J86" s="24"/>
      <c r="K86" s="24">
        <v>10348705</v>
      </c>
      <c r="L86" s="24"/>
      <c r="M86" s="24">
        <v>0</v>
      </c>
      <c r="N86" s="21"/>
      <c r="O86" s="21">
        <f t="shared" si="2"/>
        <v>7308921</v>
      </c>
      <c r="P86" s="21"/>
      <c r="Q86" s="24">
        <v>58433485</v>
      </c>
      <c r="R86" s="4"/>
      <c r="S86" s="24">
        <f>14844+32090</f>
        <v>46934</v>
      </c>
    </row>
    <row r="87" spans="1:19" s="16" customFormat="1" ht="12.75">
      <c r="A87" s="42" t="s">
        <v>74</v>
      </c>
      <c r="B87" s="42"/>
      <c r="C87" s="24">
        <v>18046971</v>
      </c>
      <c r="D87" s="24"/>
      <c r="E87" s="24">
        <v>36021183</v>
      </c>
      <c r="F87" s="24"/>
      <c r="G87" s="24">
        <v>9550534</v>
      </c>
      <c r="H87" s="24"/>
      <c r="I87" s="24">
        <v>21743432</v>
      </c>
      <c r="J87" s="24"/>
      <c r="K87" s="24">
        <v>16829409</v>
      </c>
      <c r="L87" s="24"/>
      <c r="M87" s="24">
        <v>0</v>
      </c>
      <c r="N87" s="21"/>
      <c r="O87" s="21">
        <f t="shared" si="2"/>
        <v>16345056</v>
      </c>
      <c r="P87" s="21"/>
      <c r="Q87" s="24">
        <v>118536585</v>
      </c>
      <c r="R87" s="4"/>
      <c r="S87" s="24">
        <f>14750+413044+16400</f>
        <v>444194</v>
      </c>
    </row>
    <row r="88" spans="1:19" s="16" customFormat="1" ht="12.75">
      <c r="A88" s="42" t="s">
        <v>75</v>
      </c>
      <c r="B88" s="42"/>
      <c r="C88" s="24">
        <v>7912852</v>
      </c>
      <c r="D88" s="24"/>
      <c r="E88" s="24">
        <v>17049795</v>
      </c>
      <c r="F88" s="24"/>
      <c r="G88" s="24">
        <v>0</v>
      </c>
      <c r="H88" s="24"/>
      <c r="I88" s="24">
        <v>2569146</v>
      </c>
      <c r="J88" s="24"/>
      <c r="K88" s="24">
        <v>7424199</v>
      </c>
      <c r="L88" s="24"/>
      <c r="M88" s="24">
        <v>0</v>
      </c>
      <c r="N88" s="21"/>
      <c r="O88" s="21">
        <f t="shared" si="2"/>
        <v>9101956</v>
      </c>
      <c r="P88" s="21"/>
      <c r="Q88" s="24">
        <v>44057948</v>
      </c>
      <c r="R88" s="4"/>
      <c r="S88" s="24">
        <f>4685+15869+5043</f>
        <v>25597</v>
      </c>
    </row>
    <row r="89" spans="1:19" s="16" customFormat="1" ht="12.75">
      <c r="A89" s="42" t="s">
        <v>76</v>
      </c>
      <c r="B89" s="42"/>
      <c r="C89" s="24">
        <v>4029918</v>
      </c>
      <c r="D89" s="24"/>
      <c r="E89" s="24">
        <v>9291205</v>
      </c>
      <c r="F89" s="24"/>
      <c r="G89" s="24">
        <v>0</v>
      </c>
      <c r="H89" s="24"/>
      <c r="I89" s="24">
        <v>2453740</v>
      </c>
      <c r="J89" s="24"/>
      <c r="K89" s="24">
        <v>2565778</v>
      </c>
      <c r="L89" s="24"/>
      <c r="M89" s="24">
        <v>0</v>
      </c>
      <c r="N89" s="21"/>
      <c r="O89" s="21">
        <f t="shared" si="2"/>
        <v>3244234</v>
      </c>
      <c r="P89" s="21"/>
      <c r="Q89" s="24">
        <v>21584875</v>
      </c>
      <c r="R89" s="4"/>
      <c r="S89" s="24">
        <v>213475</v>
      </c>
    </row>
    <row r="90" spans="1:19" s="16" customFormat="1" ht="12.75">
      <c r="A90" s="42" t="s">
        <v>77</v>
      </c>
      <c r="B90" s="42"/>
      <c r="C90" s="24">
        <v>3904562</v>
      </c>
      <c r="D90" s="24"/>
      <c r="E90" s="24">
        <v>7120385</v>
      </c>
      <c r="F90" s="24"/>
      <c r="G90" s="24">
        <v>0</v>
      </c>
      <c r="H90" s="24"/>
      <c r="I90" s="24">
        <v>2914781</v>
      </c>
      <c r="J90" s="24"/>
      <c r="K90" s="24">
        <v>2415499</v>
      </c>
      <c r="L90" s="24"/>
      <c r="M90" s="24">
        <v>0</v>
      </c>
      <c r="N90" s="21"/>
      <c r="O90" s="21">
        <f t="shared" si="2"/>
        <v>2384960</v>
      </c>
      <c r="P90" s="21"/>
      <c r="Q90" s="24">
        <v>18740187</v>
      </c>
      <c r="R90" s="4"/>
      <c r="S90" s="24">
        <f>22650+537301</f>
        <v>559951</v>
      </c>
    </row>
    <row r="91" spans="1:19" s="16" customFormat="1" ht="12.75">
      <c r="A91" s="42" t="s">
        <v>78</v>
      </c>
      <c r="B91" s="42"/>
      <c r="C91" s="24">
        <v>971649</v>
      </c>
      <c r="D91" s="24"/>
      <c r="E91" s="24">
        <v>3764728</v>
      </c>
      <c r="F91" s="24"/>
      <c r="G91" s="24">
        <v>0</v>
      </c>
      <c r="H91" s="24"/>
      <c r="I91" s="24">
        <v>765233</v>
      </c>
      <c r="J91" s="24"/>
      <c r="K91" s="24">
        <v>1235925</v>
      </c>
      <c r="L91" s="24"/>
      <c r="M91" s="24">
        <v>0</v>
      </c>
      <c r="N91" s="21"/>
      <c r="O91" s="21">
        <f t="shared" si="2"/>
        <v>864422</v>
      </c>
      <c r="P91" s="21"/>
      <c r="Q91" s="24">
        <v>7601957</v>
      </c>
      <c r="R91" s="4"/>
      <c r="S91" s="24">
        <f>42526+500</f>
        <v>43026</v>
      </c>
    </row>
    <row r="92" spans="1:19" s="16" customFormat="1" ht="12.75">
      <c r="A92" s="42" t="s">
        <v>79</v>
      </c>
      <c r="B92" s="42"/>
      <c r="C92" s="24">
        <v>1278212</v>
      </c>
      <c r="D92" s="24"/>
      <c r="E92" s="24">
        <v>0</v>
      </c>
      <c r="F92" s="24"/>
      <c r="G92" s="24">
        <v>0</v>
      </c>
      <c r="H92" s="24"/>
      <c r="I92" s="24">
        <v>436226</v>
      </c>
      <c r="J92" s="24"/>
      <c r="K92" s="24">
        <v>519136</v>
      </c>
      <c r="L92" s="24"/>
      <c r="M92" s="24">
        <v>0</v>
      </c>
      <c r="N92" s="21"/>
      <c r="O92" s="21">
        <f t="shared" si="2"/>
        <v>621183</v>
      </c>
      <c r="P92" s="21"/>
      <c r="Q92" s="24">
        <v>2854757</v>
      </c>
      <c r="R92" s="4"/>
      <c r="S92" s="24">
        <v>0</v>
      </c>
    </row>
    <row r="93" spans="1:19" s="16" customFormat="1" ht="12.75">
      <c r="A93" s="42" t="s">
        <v>80</v>
      </c>
      <c r="B93" s="42"/>
      <c r="C93" s="24">
        <v>37649884</v>
      </c>
      <c r="D93" s="24"/>
      <c r="E93" s="24">
        <v>0</v>
      </c>
      <c r="F93" s="24"/>
      <c r="G93" s="24">
        <v>0</v>
      </c>
      <c r="H93" s="24"/>
      <c r="I93" s="24">
        <v>6479059</v>
      </c>
      <c r="J93" s="24"/>
      <c r="K93" s="24">
        <v>4836318</v>
      </c>
      <c r="L93" s="24"/>
      <c r="M93" s="24">
        <v>0</v>
      </c>
      <c r="N93" s="21"/>
      <c r="O93" s="21">
        <f t="shared" si="2"/>
        <v>7811732</v>
      </c>
      <c r="P93" s="21"/>
      <c r="Q93" s="24">
        <v>56776993</v>
      </c>
      <c r="R93" s="4"/>
      <c r="S93" s="24">
        <f>20000</f>
        <v>20000</v>
      </c>
    </row>
    <row r="94" spans="1:19" s="16" customFormat="1" ht="12.75">
      <c r="A94" s="42" t="s">
        <v>81</v>
      </c>
      <c r="B94" s="42"/>
      <c r="C94" s="24">
        <v>2627325</v>
      </c>
      <c r="D94" s="24"/>
      <c r="E94" s="24">
        <v>9411202</v>
      </c>
      <c r="F94" s="24"/>
      <c r="G94" s="24">
        <v>0</v>
      </c>
      <c r="H94" s="24"/>
      <c r="I94" s="24">
        <v>2610985</v>
      </c>
      <c r="J94" s="24"/>
      <c r="K94" s="24">
        <v>1930340</v>
      </c>
      <c r="L94" s="24"/>
      <c r="M94" s="24">
        <v>0</v>
      </c>
      <c r="N94" s="21"/>
      <c r="O94" s="21">
        <f t="shared" si="2"/>
        <v>1328723</v>
      </c>
      <c r="P94" s="21"/>
      <c r="Q94" s="24">
        <v>17908575</v>
      </c>
      <c r="R94" s="4"/>
      <c r="S94" s="24">
        <f>6246+156940+125000</f>
        <v>288186</v>
      </c>
    </row>
    <row r="95" spans="1:19" s="16" customFormat="1" ht="12.75">
      <c r="A95" s="42" t="s">
        <v>82</v>
      </c>
      <c r="B95" s="42"/>
      <c r="C95" s="24">
        <v>4111149</v>
      </c>
      <c r="D95" s="24"/>
      <c r="E95" s="24">
        <v>83341294</v>
      </c>
      <c r="F95" s="24"/>
      <c r="G95" s="24">
        <v>0</v>
      </c>
      <c r="H95" s="24"/>
      <c r="I95" s="24">
        <v>4596549</v>
      </c>
      <c r="J95" s="24"/>
      <c r="K95" s="24">
        <v>3303237</v>
      </c>
      <c r="L95" s="24"/>
      <c r="M95" s="24">
        <v>0</v>
      </c>
      <c r="N95" s="21"/>
      <c r="O95" s="21">
        <f t="shared" si="2"/>
        <v>-70715578</v>
      </c>
      <c r="P95" s="21"/>
      <c r="Q95" s="24">
        <v>24636651</v>
      </c>
      <c r="R95" s="4"/>
      <c r="S95" s="24">
        <f>566+300000</f>
        <v>300566</v>
      </c>
    </row>
    <row r="96" spans="1:19" s="16" customFormat="1" ht="12.75" hidden="1">
      <c r="A96" s="42" t="s">
        <v>174</v>
      </c>
      <c r="B96" s="42"/>
      <c r="C96" s="24">
        <v>0</v>
      </c>
      <c r="D96" s="24"/>
      <c r="E96" s="24">
        <v>0</v>
      </c>
      <c r="F96" s="24"/>
      <c r="G96" s="24">
        <v>0</v>
      </c>
      <c r="H96" s="24"/>
      <c r="I96" s="24">
        <v>0</v>
      </c>
      <c r="J96" s="24"/>
      <c r="K96" s="24">
        <v>0</v>
      </c>
      <c r="L96" s="24"/>
      <c r="M96" s="24">
        <v>0</v>
      </c>
      <c r="N96" s="21"/>
      <c r="O96" s="21">
        <f t="shared" si="2"/>
        <v>0</v>
      </c>
      <c r="P96" s="21"/>
      <c r="Q96" s="24">
        <v>0</v>
      </c>
      <c r="R96" s="4"/>
      <c r="S96" s="24">
        <v>0</v>
      </c>
    </row>
    <row r="97" spans="1:19" s="16" customFormat="1" ht="12.75">
      <c r="A97" s="42" t="s">
        <v>83</v>
      </c>
      <c r="B97" s="42"/>
      <c r="C97" s="24">
        <v>6204649</v>
      </c>
      <c r="D97" s="24"/>
      <c r="E97" s="24">
        <v>14926452</v>
      </c>
      <c r="F97" s="24"/>
      <c r="G97" s="24">
        <v>0</v>
      </c>
      <c r="H97" s="24"/>
      <c r="I97" s="24">
        <v>6139650</v>
      </c>
      <c r="J97" s="24"/>
      <c r="K97" s="24">
        <v>3738316</v>
      </c>
      <c r="L97" s="24"/>
      <c r="M97" s="24">
        <v>0</v>
      </c>
      <c r="N97" s="21"/>
      <c r="O97" s="21">
        <f t="shared" si="2"/>
        <v>4769242</v>
      </c>
      <c r="P97" s="21"/>
      <c r="Q97" s="24">
        <v>35778309</v>
      </c>
      <c r="R97" s="4"/>
      <c r="S97" s="24">
        <v>2356627</v>
      </c>
    </row>
    <row r="98" spans="1:19" s="16" customFormat="1" ht="12.75" hidden="1">
      <c r="A98" s="42" t="s">
        <v>175</v>
      </c>
      <c r="B98" s="42"/>
      <c r="C98" s="21">
        <v>0</v>
      </c>
      <c r="D98" s="21"/>
      <c r="E98" s="21">
        <v>0</v>
      </c>
      <c r="F98" s="21"/>
      <c r="G98" s="21">
        <v>0</v>
      </c>
      <c r="H98" s="21"/>
      <c r="I98" s="21">
        <v>0</v>
      </c>
      <c r="J98" s="21"/>
      <c r="K98" s="21">
        <v>0</v>
      </c>
      <c r="L98" s="21"/>
      <c r="M98" s="21">
        <v>0</v>
      </c>
      <c r="N98" s="21"/>
      <c r="O98" s="21">
        <f t="shared" si="2"/>
        <v>0</v>
      </c>
      <c r="P98" s="21"/>
      <c r="Q98" s="21">
        <v>0</v>
      </c>
      <c r="R98" s="4"/>
      <c r="S98" s="4">
        <v>0</v>
      </c>
    </row>
    <row r="99" spans="1:19" s="16" customFormat="1" ht="12.75">
      <c r="A99" s="42"/>
      <c r="B99" s="42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4"/>
      <c r="S99" s="4"/>
    </row>
    <row r="100" spans="1:19" s="16" customFormat="1" ht="12.75">
      <c r="A100" s="42" t="s">
        <v>237</v>
      </c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4"/>
      <c r="S100" s="4"/>
    </row>
    <row r="101" spans="1:19" s="16" customFormat="1" ht="12.75">
      <c r="A101" s="49"/>
      <c r="B101" s="49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49"/>
      <c r="S101" s="49"/>
    </row>
    <row r="102" spans="1:19" s="16" customFormat="1" ht="12.75">
      <c r="A102" s="49"/>
      <c r="B102" s="49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49"/>
      <c r="S102" s="49"/>
    </row>
    <row r="103" spans="1:19" s="16" customFormat="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</row>
    <row r="104" spans="1:19" s="16" customFormat="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</row>
    <row r="105" spans="1:19" s="16" customFormat="1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</row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</sheetData>
  <printOptions/>
  <pageMargins left="0.75" right="0.75" top="0.5" bottom="0.5" header="0" footer="0.3"/>
  <pageSetup firstPageNumber="24" useFirstPageNumber="1" fitToHeight="2" horizontalDpi="600" verticalDpi="600" orientation="portrait" pageOrder="overThenDown" r:id="rId1"/>
  <headerFooter alignWithMargins="0">
    <oddFooter>&amp;C&amp;"Times New Roman,Regular"&amp;11&amp;P</oddFooter>
  </headerFooter>
  <rowBreaks count="1" manualBreakCount="1">
    <brk id="74" max="16" man="1"/>
  </rowBreaks>
  <colBreaks count="1" manualBreakCount="1">
    <brk id="12" min="9" max="9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K104"/>
  <sheetViews>
    <sheetView view="pageBreakPreview" zoomScaleSheetLayoutView="100" workbookViewId="0" topLeftCell="A55">
      <selection activeCell="AD83" sqref="AD83:AD84"/>
    </sheetView>
  </sheetViews>
  <sheetFormatPr defaultColWidth="9.140625" defaultRowHeight="12.75"/>
  <cols>
    <col min="1" max="1" width="15.7109375" style="85" customWidth="1"/>
    <col min="2" max="2" width="1.7109375" style="85" customWidth="1"/>
    <col min="3" max="3" width="10.7109375" style="85" customWidth="1"/>
    <col min="4" max="4" width="1.7109375" style="85" customWidth="1"/>
    <col min="5" max="5" width="10.7109375" style="85" customWidth="1"/>
    <col min="6" max="6" width="1.7109375" style="85" customWidth="1"/>
    <col min="7" max="7" width="10.7109375" style="85" customWidth="1"/>
    <col min="8" max="8" width="1.7109375" style="85" customWidth="1"/>
    <col min="9" max="9" width="10.7109375" style="85" customWidth="1"/>
    <col min="10" max="10" width="1.7109375" style="85" customWidth="1"/>
    <col min="11" max="11" width="10.7109375" style="85" customWidth="1"/>
    <col min="12" max="12" width="1.7109375" style="85" customWidth="1"/>
    <col min="13" max="13" width="11.7109375" style="85" customWidth="1"/>
    <col min="14" max="14" width="1.7109375" style="85" customWidth="1"/>
    <col min="15" max="15" width="10.7109375" style="85" customWidth="1"/>
    <col min="16" max="16" width="1.7109375" style="85" customWidth="1"/>
    <col min="17" max="17" width="10.7109375" style="85" customWidth="1"/>
    <col min="18" max="18" width="1.7109375" style="85" customWidth="1"/>
    <col min="19" max="19" width="10.7109375" style="85" customWidth="1"/>
    <col min="20" max="20" width="1.7109375" style="85" customWidth="1"/>
    <col min="21" max="21" width="9.7109375" style="85" customWidth="1"/>
    <col min="22" max="22" width="1.7109375" style="85" customWidth="1"/>
    <col min="23" max="23" width="9.7109375" style="85" customWidth="1"/>
    <col min="24" max="24" width="1.7109375" style="85" customWidth="1"/>
    <col min="25" max="25" width="9.7109375" style="85" customWidth="1"/>
    <col min="26" max="26" width="1.7109375" style="85" customWidth="1"/>
    <col min="27" max="27" width="10.7109375" style="85" customWidth="1"/>
    <col min="28" max="28" width="1.7109375" style="85" customWidth="1"/>
    <col min="29" max="29" width="10.7109375" style="85" customWidth="1"/>
    <col min="30" max="30" width="9.140625" style="78" customWidth="1"/>
    <col min="31" max="31" width="12.00390625" style="78" bestFit="1" customWidth="1"/>
    <col min="32" max="32" width="9.140625" style="78" customWidth="1"/>
    <col min="33" max="33" width="12.57421875" style="78" bestFit="1" customWidth="1"/>
    <col min="34" max="34" width="9.140625" style="78" customWidth="1"/>
    <col min="35" max="35" width="12.8515625" style="78" bestFit="1" customWidth="1"/>
    <col min="36" max="36" width="9.140625" style="78" customWidth="1"/>
    <col min="37" max="37" width="11.7109375" style="78" bestFit="1" customWidth="1"/>
    <col min="38" max="38" width="9.421875" style="78" bestFit="1" customWidth="1"/>
    <col min="39" max="16384" width="9.140625" style="78" customWidth="1"/>
  </cols>
  <sheetData>
    <row r="1" spans="1:31" s="46" customFormat="1" ht="12.75">
      <c r="A1" s="43" t="s">
        <v>205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44"/>
      <c r="AE1" s="45"/>
    </row>
    <row r="2" spans="1:31" s="46" customFormat="1" ht="12.75">
      <c r="A2" s="43" t="s">
        <v>249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44"/>
      <c r="AE2" s="45"/>
    </row>
    <row r="3" spans="1:31" ht="12.75">
      <c r="A3" s="36" t="s">
        <v>187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18"/>
      <c r="AE3" s="48"/>
    </row>
    <row r="4" spans="1:35" ht="12.75">
      <c r="A4" s="113" t="s">
        <v>261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8"/>
      <c r="AE4" s="48" t="s">
        <v>213</v>
      </c>
      <c r="AG4" s="78" t="s">
        <v>218</v>
      </c>
      <c r="AI4" s="78" t="s">
        <v>221</v>
      </c>
    </row>
    <row r="5" spans="1:31" ht="12.75">
      <c r="A5" s="11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8"/>
      <c r="AE5" s="48"/>
    </row>
    <row r="6" spans="1:37" s="16" customFormat="1" ht="12.75">
      <c r="A6" s="8"/>
      <c r="B6" s="8"/>
      <c r="C6" s="8" t="s">
        <v>188</v>
      </c>
      <c r="D6" s="8"/>
      <c r="E6" s="8"/>
      <c r="F6" s="8"/>
      <c r="G6" s="8" t="s">
        <v>84</v>
      </c>
      <c r="H6" s="8"/>
      <c r="I6" s="8" t="s">
        <v>84</v>
      </c>
      <c r="J6" s="8"/>
      <c r="K6" s="8"/>
      <c r="L6" s="8"/>
      <c r="M6" s="8" t="s">
        <v>85</v>
      </c>
      <c r="N6" s="8"/>
      <c r="O6" s="8" t="s">
        <v>165</v>
      </c>
      <c r="P6" s="8"/>
      <c r="Q6" s="8" t="s">
        <v>86</v>
      </c>
      <c r="R6" s="8"/>
      <c r="S6" s="8" t="s">
        <v>99</v>
      </c>
      <c r="T6" s="8"/>
      <c r="U6" s="8" t="s">
        <v>87</v>
      </c>
      <c r="V6" s="8"/>
      <c r="W6" s="8" t="s">
        <v>1</v>
      </c>
      <c r="X6" s="8"/>
      <c r="Y6" s="8"/>
      <c r="Z6" s="8"/>
      <c r="AA6" s="8" t="s">
        <v>100</v>
      </c>
      <c r="AB6" s="8"/>
      <c r="AC6" s="8"/>
      <c r="AD6" s="4"/>
      <c r="AE6" s="49" t="s">
        <v>217</v>
      </c>
      <c r="AG6" s="16" t="s">
        <v>219</v>
      </c>
      <c r="AI6" s="16" t="s">
        <v>222</v>
      </c>
      <c r="AK6" s="16" t="s">
        <v>224</v>
      </c>
    </row>
    <row r="7" spans="1:37" s="16" customFormat="1" ht="12.75">
      <c r="A7" s="32" t="s">
        <v>5</v>
      </c>
      <c r="B7" s="4"/>
      <c r="C7" s="32" t="s">
        <v>189</v>
      </c>
      <c r="D7" s="4"/>
      <c r="E7" s="32" t="s">
        <v>88</v>
      </c>
      <c r="F7" s="4"/>
      <c r="G7" s="32" t="s">
        <v>89</v>
      </c>
      <c r="H7" s="4"/>
      <c r="I7" s="32" t="s">
        <v>90</v>
      </c>
      <c r="J7" s="4"/>
      <c r="K7" s="32" t="s">
        <v>91</v>
      </c>
      <c r="L7" s="4"/>
      <c r="M7" s="32" t="s">
        <v>8</v>
      </c>
      <c r="N7" s="4"/>
      <c r="O7" s="32" t="s">
        <v>166</v>
      </c>
      <c r="P7" s="4"/>
      <c r="Q7" s="32" t="s">
        <v>192</v>
      </c>
      <c r="R7" s="4"/>
      <c r="S7" s="32" t="s">
        <v>92</v>
      </c>
      <c r="T7" s="4"/>
      <c r="U7" s="32" t="s">
        <v>93</v>
      </c>
      <c r="V7" s="4"/>
      <c r="W7" s="32" t="s">
        <v>9</v>
      </c>
      <c r="X7" s="4"/>
      <c r="Y7" s="32" t="s">
        <v>94</v>
      </c>
      <c r="Z7" s="4"/>
      <c r="AA7" s="32" t="s">
        <v>95</v>
      </c>
      <c r="AB7" s="4"/>
      <c r="AC7" s="32" t="s">
        <v>4</v>
      </c>
      <c r="AD7" s="4"/>
      <c r="AE7" s="49" t="s">
        <v>214</v>
      </c>
      <c r="AG7" s="16" t="s">
        <v>220</v>
      </c>
      <c r="AI7" s="16" t="s">
        <v>223</v>
      </c>
      <c r="AK7" s="16" t="s">
        <v>225</v>
      </c>
    </row>
    <row r="8" spans="1:37" s="16" customFormat="1" ht="12.75" hidden="1">
      <c r="A8" s="76" t="s">
        <v>251</v>
      </c>
      <c r="B8" s="4"/>
      <c r="C8" s="27">
        <v>0</v>
      </c>
      <c r="D8" s="27"/>
      <c r="E8" s="27">
        <v>0</v>
      </c>
      <c r="F8" s="27"/>
      <c r="G8" s="27">
        <v>0</v>
      </c>
      <c r="H8" s="27"/>
      <c r="I8" s="27">
        <v>0</v>
      </c>
      <c r="J8" s="27"/>
      <c r="K8" s="27">
        <v>0</v>
      </c>
      <c r="L8" s="27"/>
      <c r="M8" s="27">
        <v>0</v>
      </c>
      <c r="N8" s="27"/>
      <c r="O8" s="27">
        <v>0</v>
      </c>
      <c r="P8" s="27"/>
      <c r="Q8" s="27">
        <v>0</v>
      </c>
      <c r="R8" s="27"/>
      <c r="S8" s="27">
        <v>0</v>
      </c>
      <c r="T8" s="41"/>
      <c r="U8" s="27">
        <v>0</v>
      </c>
      <c r="V8" s="27"/>
      <c r="W8" s="27">
        <v>0</v>
      </c>
      <c r="X8" s="27"/>
      <c r="Y8" s="27">
        <v>0</v>
      </c>
      <c r="Z8" s="27"/>
      <c r="AA8" s="27">
        <v>0</v>
      </c>
      <c r="AB8" s="27"/>
      <c r="AC8" s="41">
        <f>SUM(C8:AA8)</f>
        <v>0</v>
      </c>
      <c r="AD8" s="22"/>
      <c r="AE8" s="27">
        <v>0</v>
      </c>
      <c r="AG8" s="27">
        <v>0</v>
      </c>
      <c r="AI8" s="16">
        <v>0</v>
      </c>
      <c r="AK8" s="16">
        <f>+GenRev!Q9-GenExp!AC8-AE8+GenRev!S9+AG8+AI8-'Gen Fd BS'!O9</f>
        <v>0</v>
      </c>
    </row>
    <row r="9" spans="1:37" s="16" customFormat="1" ht="12.75">
      <c r="A9" s="4" t="s">
        <v>13</v>
      </c>
      <c r="B9" s="4"/>
      <c r="C9" s="27">
        <v>11081692</v>
      </c>
      <c r="D9" s="27"/>
      <c r="E9" s="27">
        <v>4945204</v>
      </c>
      <c r="F9" s="27"/>
      <c r="G9" s="27">
        <v>8740095</v>
      </c>
      <c r="H9" s="27"/>
      <c r="I9" s="27">
        <v>174626</v>
      </c>
      <c r="J9" s="27"/>
      <c r="K9" s="27">
        <v>203849</v>
      </c>
      <c r="L9" s="27"/>
      <c r="M9" s="27">
        <v>883140</v>
      </c>
      <c r="N9" s="27"/>
      <c r="O9" s="27">
        <v>0</v>
      </c>
      <c r="P9" s="27"/>
      <c r="Q9" s="27">
        <v>703138</v>
      </c>
      <c r="R9" s="27"/>
      <c r="S9" s="27">
        <v>47175</v>
      </c>
      <c r="T9" s="41"/>
      <c r="U9" s="27">
        <v>0</v>
      </c>
      <c r="V9" s="27"/>
      <c r="W9" s="27">
        <v>194523</v>
      </c>
      <c r="X9" s="27"/>
      <c r="Y9" s="27">
        <v>170789</v>
      </c>
      <c r="Z9" s="27"/>
      <c r="AA9" s="27">
        <v>13121</v>
      </c>
      <c r="AB9" s="27"/>
      <c r="AC9" s="41">
        <f>SUM(C9:AA9)</f>
        <v>27157352</v>
      </c>
      <c r="AD9" s="22"/>
      <c r="AE9" s="27">
        <v>1448725</v>
      </c>
      <c r="AG9" s="27">
        <v>4975807</v>
      </c>
      <c r="AI9" s="16">
        <v>0</v>
      </c>
      <c r="AK9" s="16">
        <f>+GenRev!Q10-GenExp!AC9-AE9+GenRev!S10+AG9+AI9-'Gen Fd BS'!O10</f>
        <v>0</v>
      </c>
    </row>
    <row r="10" spans="1:37" s="16" customFormat="1" ht="12.75" customHeight="1">
      <c r="A10" s="4" t="s">
        <v>14</v>
      </c>
      <c r="B10" s="4"/>
      <c r="C10" s="13">
        <v>4825379</v>
      </c>
      <c r="D10" s="13"/>
      <c r="E10" s="13">
        <v>1371510</v>
      </c>
      <c r="F10" s="13"/>
      <c r="G10" s="13">
        <f>4308617+150669</f>
        <v>4459286</v>
      </c>
      <c r="H10" s="13"/>
      <c r="I10" s="13">
        <v>157749</v>
      </c>
      <c r="J10" s="13"/>
      <c r="K10" s="13">
        <v>314319</v>
      </c>
      <c r="L10" s="13"/>
      <c r="M10" s="13">
        <v>309775</v>
      </c>
      <c r="N10" s="13"/>
      <c r="O10" s="13">
        <v>0</v>
      </c>
      <c r="P10" s="13"/>
      <c r="Q10" s="13">
        <v>40800</v>
      </c>
      <c r="R10" s="13"/>
      <c r="S10" s="13">
        <v>0</v>
      </c>
      <c r="T10" s="21"/>
      <c r="U10" s="13">
        <v>0</v>
      </c>
      <c r="V10" s="13"/>
      <c r="W10" s="13">
        <v>94000</v>
      </c>
      <c r="X10" s="13"/>
      <c r="Y10" s="13">
        <v>0</v>
      </c>
      <c r="Z10" s="13"/>
      <c r="AA10" s="13">
        <v>0</v>
      </c>
      <c r="AB10" s="13"/>
      <c r="AC10" s="21">
        <f aca="true" t="shared" si="0" ref="AC10:AC26">SUM(C10:AA10)</f>
        <v>11572818</v>
      </c>
      <c r="AD10" s="22"/>
      <c r="AE10" s="13">
        <v>1517566</v>
      </c>
      <c r="AG10" s="13">
        <v>4529061</v>
      </c>
      <c r="AI10" s="16">
        <v>0</v>
      </c>
      <c r="AK10" s="16">
        <f>+GenRev!Q11-GenExp!AC10-AE10+GenRev!S11+AG10+AI10-'Gen Fd BS'!O11</f>
        <v>0</v>
      </c>
    </row>
    <row r="11" spans="1:37" s="16" customFormat="1" ht="12.75">
      <c r="A11" s="4" t="s">
        <v>15</v>
      </c>
      <c r="B11" s="4"/>
      <c r="C11" s="13">
        <v>5872997</v>
      </c>
      <c r="D11" s="13"/>
      <c r="E11" s="13">
        <v>3437623</v>
      </c>
      <c r="F11" s="13"/>
      <c r="G11" s="13">
        <v>6614898</v>
      </c>
      <c r="H11" s="13"/>
      <c r="I11" s="13">
        <v>296291</v>
      </c>
      <c r="J11" s="13"/>
      <c r="K11" s="13">
        <v>218787</v>
      </c>
      <c r="L11" s="13"/>
      <c r="M11" s="13">
        <v>780674</v>
      </c>
      <c r="N11" s="13"/>
      <c r="O11" s="13">
        <v>0</v>
      </c>
      <c r="P11" s="13"/>
      <c r="Q11" s="13">
        <v>341995</v>
      </c>
      <c r="R11" s="13"/>
      <c r="S11" s="13">
        <v>7085869</v>
      </c>
      <c r="T11" s="21"/>
      <c r="U11" s="13">
        <v>0</v>
      </c>
      <c r="V11" s="13"/>
      <c r="W11" s="13">
        <v>0</v>
      </c>
      <c r="X11" s="13"/>
      <c r="Y11" s="13">
        <v>93569</v>
      </c>
      <c r="Z11" s="13"/>
      <c r="AA11" s="13">
        <v>8185</v>
      </c>
      <c r="AB11" s="13"/>
      <c r="AC11" s="21">
        <f t="shared" si="0"/>
        <v>24750888</v>
      </c>
      <c r="AD11" s="22"/>
      <c r="AE11" s="13">
        <f>44228+3704098</f>
        <v>3748326</v>
      </c>
      <c r="AG11" s="13">
        <v>4385969</v>
      </c>
      <c r="AI11" s="16">
        <v>0</v>
      </c>
      <c r="AK11" s="16">
        <f>+GenRev!Q12-GenExp!AC11-AE11+GenRev!S12+AG11+AI11-'Gen Fd BS'!O12</f>
        <v>0</v>
      </c>
    </row>
    <row r="12" spans="1:37" s="16" customFormat="1" ht="12.75">
      <c r="A12" s="4" t="s">
        <v>16</v>
      </c>
      <c r="B12" s="4"/>
      <c r="C12" s="13">
        <v>4666166</v>
      </c>
      <c r="D12" s="13"/>
      <c r="E12" s="13">
        <v>2159346</v>
      </c>
      <c r="F12" s="13"/>
      <c r="G12" s="13">
        <v>2867875</v>
      </c>
      <c r="H12" s="13"/>
      <c r="I12" s="13">
        <v>0</v>
      </c>
      <c r="J12" s="13"/>
      <c r="K12" s="13">
        <v>438148</v>
      </c>
      <c r="L12" s="13"/>
      <c r="M12" s="13">
        <v>392310</v>
      </c>
      <c r="N12" s="13"/>
      <c r="O12" s="13">
        <v>0</v>
      </c>
      <c r="P12" s="13"/>
      <c r="Q12" s="13">
        <v>12384</v>
      </c>
      <c r="R12" s="13"/>
      <c r="S12" s="13">
        <v>0</v>
      </c>
      <c r="T12" s="21"/>
      <c r="U12" s="13">
        <v>0</v>
      </c>
      <c r="V12" s="13"/>
      <c r="W12" s="13">
        <v>0</v>
      </c>
      <c r="X12" s="13"/>
      <c r="Y12" s="13">
        <v>45961</v>
      </c>
      <c r="Z12" s="13"/>
      <c r="AA12" s="13">
        <v>4038</v>
      </c>
      <c r="AB12" s="13"/>
      <c r="AC12" s="21">
        <f t="shared" si="0"/>
        <v>10586228</v>
      </c>
      <c r="AD12" s="22"/>
      <c r="AE12" s="13">
        <v>1026016</v>
      </c>
      <c r="AG12" s="13">
        <v>2167068</v>
      </c>
      <c r="AI12" s="16">
        <v>0</v>
      </c>
      <c r="AK12" s="16">
        <f>+GenRev!Q13-GenExp!AC12-AE12+GenRev!S13+AG12+AI12-'Gen Fd BS'!O13</f>
        <v>0</v>
      </c>
    </row>
    <row r="13" spans="1:37" s="16" customFormat="1" ht="12.75">
      <c r="A13" s="4" t="s">
        <v>17</v>
      </c>
      <c r="B13" s="4"/>
      <c r="C13" s="13">
        <v>2789757</v>
      </c>
      <c r="D13" s="13"/>
      <c r="E13" s="13">
        <v>1555230</v>
      </c>
      <c r="F13" s="13"/>
      <c r="G13" s="13">
        <v>2941416</v>
      </c>
      <c r="H13" s="13"/>
      <c r="I13" s="13">
        <v>251839</v>
      </c>
      <c r="J13" s="13"/>
      <c r="K13" s="13">
        <v>83476</v>
      </c>
      <c r="L13" s="13"/>
      <c r="M13" s="13">
        <v>251862</v>
      </c>
      <c r="N13" s="13"/>
      <c r="O13" s="13">
        <v>0</v>
      </c>
      <c r="P13" s="13"/>
      <c r="Q13" s="13">
        <v>0</v>
      </c>
      <c r="R13" s="13"/>
      <c r="S13" s="13">
        <v>1073889</v>
      </c>
      <c r="T13" s="21"/>
      <c r="U13" s="13">
        <v>0</v>
      </c>
      <c r="V13" s="13"/>
      <c r="W13" s="13">
        <v>0</v>
      </c>
      <c r="X13" s="13"/>
      <c r="Y13" s="13">
        <v>0</v>
      </c>
      <c r="Z13" s="13"/>
      <c r="AA13" s="13">
        <v>0</v>
      </c>
      <c r="AB13" s="13"/>
      <c r="AC13" s="21">
        <f t="shared" si="0"/>
        <v>8947469</v>
      </c>
      <c r="AD13" s="22"/>
      <c r="AE13" s="13">
        <f>553110+150000</f>
        <v>703110</v>
      </c>
      <c r="AG13" s="13">
        <v>3150801</v>
      </c>
      <c r="AI13" s="16">
        <v>0</v>
      </c>
      <c r="AK13" s="16">
        <f>+GenRev!Q14-GenExp!AC13-AE13+GenRev!S14+AG13+AI13-'Gen Fd BS'!O14</f>
        <v>0</v>
      </c>
    </row>
    <row r="14" spans="1:37" s="16" customFormat="1" ht="12.75">
      <c r="A14" s="4" t="s">
        <v>18</v>
      </c>
      <c r="B14" s="4"/>
      <c r="C14" s="13">
        <v>7243763</v>
      </c>
      <c r="D14" s="13"/>
      <c r="E14" s="13">
        <v>2464381</v>
      </c>
      <c r="F14" s="13"/>
      <c r="G14" s="13">
        <v>6393063</v>
      </c>
      <c r="H14" s="13"/>
      <c r="I14" s="13">
        <v>560006</v>
      </c>
      <c r="J14" s="13"/>
      <c r="K14" s="13">
        <v>57335</v>
      </c>
      <c r="L14" s="13"/>
      <c r="M14" s="13">
        <v>394876</v>
      </c>
      <c r="N14" s="13"/>
      <c r="O14" s="13">
        <v>0</v>
      </c>
      <c r="P14" s="13"/>
      <c r="Q14" s="13">
        <v>0</v>
      </c>
      <c r="R14" s="13"/>
      <c r="S14" s="13">
        <v>52060</v>
      </c>
      <c r="T14" s="21"/>
      <c r="U14" s="13">
        <v>0</v>
      </c>
      <c r="V14" s="13"/>
      <c r="W14" s="13">
        <v>392795</v>
      </c>
      <c r="X14" s="13"/>
      <c r="Y14" s="13">
        <v>35218</v>
      </c>
      <c r="Z14" s="13"/>
      <c r="AA14" s="13">
        <v>8592</v>
      </c>
      <c r="AB14" s="13"/>
      <c r="AC14" s="21">
        <f t="shared" si="0"/>
        <v>17602089</v>
      </c>
      <c r="AD14" s="22"/>
      <c r="AE14" s="13">
        <v>1819079</v>
      </c>
      <c r="AG14" s="13">
        <v>6802686</v>
      </c>
      <c r="AI14" s="16">
        <v>0</v>
      </c>
      <c r="AK14" s="16">
        <f>+GenRev!Q15-GenExp!AC14-AE14+GenRev!S15+AG14+AI14-'Gen Fd BS'!O15</f>
        <v>0</v>
      </c>
    </row>
    <row r="15" spans="1:37" s="16" customFormat="1" ht="12.75" hidden="1">
      <c r="A15" s="4" t="s">
        <v>254</v>
      </c>
      <c r="B15" s="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21"/>
      <c r="U15" s="13"/>
      <c r="V15" s="13"/>
      <c r="W15" s="13"/>
      <c r="X15" s="13"/>
      <c r="Y15" s="13"/>
      <c r="Z15" s="13"/>
      <c r="AA15" s="13"/>
      <c r="AB15" s="13"/>
      <c r="AC15" s="21">
        <f t="shared" si="0"/>
        <v>0</v>
      </c>
      <c r="AD15" s="22"/>
      <c r="AE15" s="13"/>
      <c r="AG15" s="13"/>
      <c r="AK15" s="16">
        <f>+GenRev!Q16-GenExp!AC15-AE15+GenRev!S16+AG15+AI15-'Gen Fd BS'!O16</f>
        <v>0</v>
      </c>
    </row>
    <row r="16" spans="1:37" s="16" customFormat="1" ht="12.75">
      <c r="A16" s="4" t="s">
        <v>19</v>
      </c>
      <c r="B16" s="4"/>
      <c r="C16" s="13">
        <v>21790756</v>
      </c>
      <c r="D16" s="13"/>
      <c r="E16" s="13">
        <v>13784259</v>
      </c>
      <c r="F16" s="13"/>
      <c r="G16" s="13">
        <v>37919270</v>
      </c>
      <c r="H16" s="13"/>
      <c r="I16" s="13">
        <v>199623</v>
      </c>
      <c r="J16" s="13"/>
      <c r="K16" s="13">
        <v>449005</v>
      </c>
      <c r="L16" s="13"/>
      <c r="M16" s="13">
        <v>1223558</v>
      </c>
      <c r="N16" s="13"/>
      <c r="O16" s="13">
        <v>0</v>
      </c>
      <c r="P16" s="13"/>
      <c r="Q16" s="13">
        <v>589151</v>
      </c>
      <c r="R16" s="13"/>
      <c r="S16" s="13">
        <v>0</v>
      </c>
      <c r="T16" s="21"/>
      <c r="U16" s="13">
        <v>0</v>
      </c>
      <c r="V16" s="13"/>
      <c r="W16" s="13">
        <v>0</v>
      </c>
      <c r="X16" s="13"/>
      <c r="Y16" s="13">
        <v>3582869</v>
      </c>
      <c r="Z16" s="13"/>
      <c r="AA16" s="13">
        <f>2880934+245108</f>
        <v>3126042</v>
      </c>
      <c r="AB16" s="13"/>
      <c r="AC16" s="21">
        <f>SUM(C16:AA16)</f>
        <v>82664533</v>
      </c>
      <c r="AD16" s="22"/>
      <c r="AE16" s="13">
        <v>3118417</v>
      </c>
      <c r="AG16" s="13">
        <v>10628434</v>
      </c>
      <c r="AI16" s="16">
        <v>0</v>
      </c>
      <c r="AK16" s="16">
        <f>+GenRev!Q17-GenExp!AC16-AE16+GenRev!S17+AG16+AI16-'Gen Fd BS'!O17</f>
        <v>0</v>
      </c>
    </row>
    <row r="17" spans="1:37" s="16" customFormat="1" ht="12.75">
      <c r="A17" s="4" t="s">
        <v>20</v>
      </c>
      <c r="B17" s="4"/>
      <c r="C17" s="13">
        <v>2404900</v>
      </c>
      <c r="D17" s="13"/>
      <c r="E17" s="13">
        <v>958372</v>
      </c>
      <c r="F17" s="13"/>
      <c r="G17" s="13">
        <v>1533973</v>
      </c>
      <c r="H17" s="13"/>
      <c r="I17" s="13">
        <v>83065</v>
      </c>
      <c r="J17" s="13"/>
      <c r="K17" s="13">
        <v>46368</v>
      </c>
      <c r="L17" s="13"/>
      <c r="M17" s="13">
        <v>185453</v>
      </c>
      <c r="N17" s="13"/>
      <c r="O17" s="13">
        <f>29000</f>
        <v>29000</v>
      </c>
      <c r="P17" s="13"/>
      <c r="Q17" s="13">
        <v>0</v>
      </c>
      <c r="R17" s="13"/>
      <c r="S17" s="13">
        <v>341761</v>
      </c>
      <c r="T17" s="21"/>
      <c r="U17" s="13">
        <v>103477</v>
      </c>
      <c r="V17" s="13"/>
      <c r="W17" s="13">
        <v>0</v>
      </c>
      <c r="X17" s="13"/>
      <c r="Y17" s="13">
        <v>5553</v>
      </c>
      <c r="Z17" s="13"/>
      <c r="AA17" s="13">
        <v>257</v>
      </c>
      <c r="AB17" s="13"/>
      <c r="AC17" s="21">
        <f t="shared" si="0"/>
        <v>5692179</v>
      </c>
      <c r="AD17" s="22"/>
      <c r="AE17" s="13">
        <v>72726</v>
      </c>
      <c r="AG17" s="13">
        <v>844592</v>
      </c>
      <c r="AI17" s="16">
        <v>0</v>
      </c>
      <c r="AK17" s="16">
        <f>+GenRev!Q18-GenExp!AC17-AE17+GenRev!S18+AG17+AI17-'Gen Fd BS'!O18</f>
        <v>0</v>
      </c>
    </row>
    <row r="18" spans="1:37" s="16" customFormat="1" ht="12.75" hidden="1">
      <c r="A18" s="4" t="s">
        <v>173</v>
      </c>
      <c r="B18" s="4"/>
      <c r="C18" s="13">
        <v>0</v>
      </c>
      <c r="D18" s="13"/>
      <c r="E18" s="13">
        <v>0</v>
      </c>
      <c r="F18" s="13"/>
      <c r="G18" s="13">
        <v>0</v>
      </c>
      <c r="H18" s="13"/>
      <c r="I18" s="13">
        <v>0</v>
      </c>
      <c r="J18" s="13"/>
      <c r="K18" s="13">
        <v>0</v>
      </c>
      <c r="L18" s="13"/>
      <c r="M18" s="13">
        <v>0</v>
      </c>
      <c r="N18" s="13"/>
      <c r="O18" s="13">
        <v>0</v>
      </c>
      <c r="P18" s="13"/>
      <c r="Q18" s="13">
        <v>0</v>
      </c>
      <c r="R18" s="13"/>
      <c r="S18" s="13">
        <v>0</v>
      </c>
      <c r="T18" s="21"/>
      <c r="U18" s="13">
        <v>0</v>
      </c>
      <c r="V18" s="13"/>
      <c r="W18" s="13">
        <v>0</v>
      </c>
      <c r="X18" s="13"/>
      <c r="Y18" s="13">
        <v>0</v>
      </c>
      <c r="Z18" s="13"/>
      <c r="AA18" s="13">
        <v>0</v>
      </c>
      <c r="AB18" s="13"/>
      <c r="AC18" s="21">
        <f t="shared" si="0"/>
        <v>0</v>
      </c>
      <c r="AD18" s="22"/>
      <c r="AE18" s="13">
        <v>0</v>
      </c>
      <c r="AG18" s="13">
        <v>0</v>
      </c>
      <c r="AI18" s="16">
        <v>0</v>
      </c>
      <c r="AK18" s="16">
        <f>+GenRev!Q19-GenExp!AC18-AE18+GenRev!S19+AG18+AI18-'Gen Fd BS'!O19</f>
        <v>0</v>
      </c>
    </row>
    <row r="19" spans="1:37" s="16" customFormat="1" ht="12.75">
      <c r="A19" s="4" t="s">
        <v>21</v>
      </c>
      <c r="B19" s="4"/>
      <c r="C19" s="13">
        <v>4002662</v>
      </c>
      <c r="D19" s="13"/>
      <c r="E19" s="13">
        <v>8733857</v>
      </c>
      <c r="F19" s="13"/>
      <c r="G19" s="13">
        <v>12650975</v>
      </c>
      <c r="H19" s="13"/>
      <c r="I19" s="13">
        <v>4004831</v>
      </c>
      <c r="J19" s="13"/>
      <c r="K19" s="13">
        <v>431699</v>
      </c>
      <c r="L19" s="13"/>
      <c r="M19" s="13">
        <v>613180</v>
      </c>
      <c r="N19" s="13"/>
      <c r="O19" s="13">
        <v>0</v>
      </c>
      <c r="P19" s="13"/>
      <c r="Q19" s="13">
        <v>765700</v>
      </c>
      <c r="R19" s="13"/>
      <c r="S19" s="13">
        <v>0</v>
      </c>
      <c r="T19" s="21"/>
      <c r="U19" s="13">
        <v>0</v>
      </c>
      <c r="V19" s="13"/>
      <c r="W19" s="13">
        <v>0</v>
      </c>
      <c r="X19" s="13"/>
      <c r="Y19" s="13">
        <v>0</v>
      </c>
      <c r="Z19" s="13"/>
      <c r="AA19" s="13">
        <v>0</v>
      </c>
      <c r="AB19" s="13"/>
      <c r="AC19" s="21">
        <f t="shared" si="0"/>
        <v>31202904</v>
      </c>
      <c r="AD19" s="22"/>
      <c r="AE19" s="13">
        <f>15000+5036697</f>
        <v>5051697</v>
      </c>
      <c r="AG19" s="13">
        <v>6788929</v>
      </c>
      <c r="AI19" s="16">
        <v>0</v>
      </c>
      <c r="AK19" s="16">
        <f>+GenRev!Q20-GenExp!AC19-AE19+GenRev!S20+AG19+AI19-'Gen Fd BS'!O20</f>
        <v>0</v>
      </c>
    </row>
    <row r="20" spans="1:37" s="16" customFormat="1" ht="12.75">
      <c r="A20" s="4" t="s">
        <v>184</v>
      </c>
      <c r="B20" s="4"/>
      <c r="C20" s="13">
        <v>15320506</v>
      </c>
      <c r="D20" s="13"/>
      <c r="E20" s="13">
        <v>8520496</v>
      </c>
      <c r="F20" s="13"/>
      <c r="G20" s="13">
        <v>21037827</v>
      </c>
      <c r="H20" s="13"/>
      <c r="I20" s="13">
        <v>0</v>
      </c>
      <c r="J20" s="13"/>
      <c r="K20" s="13">
        <v>244383</v>
      </c>
      <c r="L20" s="13"/>
      <c r="M20" s="13">
        <v>1162812</v>
      </c>
      <c r="N20" s="13"/>
      <c r="O20" s="13">
        <f>311152+8986345</f>
        <v>9297497</v>
      </c>
      <c r="P20" s="13"/>
      <c r="Q20" s="13">
        <v>0</v>
      </c>
      <c r="R20" s="13"/>
      <c r="S20" s="13">
        <v>0</v>
      </c>
      <c r="T20" s="21"/>
      <c r="U20" s="13">
        <v>0</v>
      </c>
      <c r="V20" s="13"/>
      <c r="W20" s="13">
        <v>0</v>
      </c>
      <c r="X20" s="13"/>
      <c r="Y20" s="13">
        <v>0</v>
      </c>
      <c r="Z20" s="13"/>
      <c r="AA20" s="13">
        <v>0</v>
      </c>
      <c r="AB20" s="13"/>
      <c r="AC20" s="21">
        <f t="shared" si="0"/>
        <v>55583521</v>
      </c>
      <c r="AD20" s="22"/>
      <c r="AE20" s="13">
        <v>3958137</v>
      </c>
      <c r="AG20" s="13">
        <v>24835213</v>
      </c>
      <c r="AI20" s="16">
        <v>0</v>
      </c>
      <c r="AK20" s="16">
        <f>+GenRev!Q21-GenExp!AC20-AE20+GenRev!S21+AG20+AI20-'Gen Fd BS'!O21</f>
        <v>0</v>
      </c>
    </row>
    <row r="21" spans="1:37" s="16" customFormat="1" ht="12.75">
      <c r="A21" s="4" t="s">
        <v>22</v>
      </c>
      <c r="B21" s="4"/>
      <c r="C21" s="13">
        <v>5289512</v>
      </c>
      <c r="D21" s="13"/>
      <c r="E21" s="13">
        <v>2403993</v>
      </c>
      <c r="F21" s="13"/>
      <c r="G21" s="13">
        <v>3794981</v>
      </c>
      <c r="H21" s="13"/>
      <c r="I21" s="13">
        <v>94959</v>
      </c>
      <c r="J21" s="13"/>
      <c r="K21" s="13">
        <v>42995</v>
      </c>
      <c r="L21" s="13"/>
      <c r="M21" s="13">
        <v>348541</v>
      </c>
      <c r="N21" s="13"/>
      <c r="O21" s="13">
        <v>0</v>
      </c>
      <c r="P21" s="13"/>
      <c r="Q21" s="13">
        <v>0</v>
      </c>
      <c r="R21" s="13"/>
      <c r="S21" s="13">
        <v>762114</v>
      </c>
      <c r="T21" s="21"/>
      <c r="U21" s="13">
        <v>0</v>
      </c>
      <c r="V21" s="13"/>
      <c r="W21" s="13">
        <v>0</v>
      </c>
      <c r="X21" s="13"/>
      <c r="Y21" s="13">
        <v>959</v>
      </c>
      <c r="Z21" s="13"/>
      <c r="AA21" s="13">
        <v>3631</v>
      </c>
      <c r="AB21" s="13"/>
      <c r="AC21" s="21">
        <f t="shared" si="0"/>
        <v>12741685</v>
      </c>
      <c r="AD21" s="22"/>
      <c r="AE21" s="13">
        <v>317698</v>
      </c>
      <c r="AG21" s="13">
        <v>1699068</v>
      </c>
      <c r="AI21" s="16">
        <v>0</v>
      </c>
      <c r="AK21" s="16">
        <f>+GenRev!Q22-GenExp!AC21-AE21+GenRev!S22+AG21+AI21-'Gen Fd BS'!O22</f>
        <v>0</v>
      </c>
    </row>
    <row r="22" spans="1:37" s="16" customFormat="1" ht="12.75" hidden="1">
      <c r="A22" s="4" t="s">
        <v>23</v>
      </c>
      <c r="B22" s="4"/>
      <c r="C22" s="13">
        <v>0</v>
      </c>
      <c r="D22" s="13"/>
      <c r="E22" s="13">
        <v>0</v>
      </c>
      <c r="F22" s="13"/>
      <c r="G22" s="13">
        <v>0</v>
      </c>
      <c r="H22" s="13"/>
      <c r="I22" s="13">
        <v>0</v>
      </c>
      <c r="J22" s="13"/>
      <c r="K22" s="13">
        <v>0</v>
      </c>
      <c r="L22" s="13"/>
      <c r="M22" s="13">
        <v>0</v>
      </c>
      <c r="N22" s="13"/>
      <c r="O22" s="13">
        <v>0</v>
      </c>
      <c r="P22" s="13"/>
      <c r="Q22" s="13">
        <v>0</v>
      </c>
      <c r="R22" s="13"/>
      <c r="S22" s="13">
        <v>0</v>
      </c>
      <c r="T22" s="21"/>
      <c r="U22" s="13">
        <v>0</v>
      </c>
      <c r="V22" s="13"/>
      <c r="W22" s="13">
        <v>0</v>
      </c>
      <c r="X22" s="13"/>
      <c r="Y22" s="13">
        <v>0</v>
      </c>
      <c r="Z22" s="13"/>
      <c r="AA22" s="13">
        <v>0</v>
      </c>
      <c r="AB22" s="13"/>
      <c r="AC22" s="21">
        <f t="shared" si="0"/>
        <v>0</v>
      </c>
      <c r="AD22" s="22"/>
      <c r="AE22" s="13">
        <v>0</v>
      </c>
      <c r="AG22" s="13">
        <v>0</v>
      </c>
      <c r="AI22" s="16">
        <v>0</v>
      </c>
      <c r="AK22" s="16">
        <f>+GenRev!Q23-GenExp!AC22-AE22+GenRev!S23+AG22+AI22-'Gen Fd BS'!O23</f>
        <v>0</v>
      </c>
    </row>
    <row r="23" spans="1:37" s="16" customFormat="1" ht="12.75">
      <c r="A23" s="4" t="s">
        <v>24</v>
      </c>
      <c r="B23" s="4"/>
      <c r="C23" s="13">
        <v>2483465</v>
      </c>
      <c r="D23" s="13"/>
      <c r="E23" s="13">
        <v>1460582</v>
      </c>
      <c r="F23" s="13"/>
      <c r="G23" s="13">
        <v>2914002</v>
      </c>
      <c r="H23" s="13"/>
      <c r="I23" s="13">
        <v>156951</v>
      </c>
      <c r="J23" s="13"/>
      <c r="K23" s="13">
        <v>69615</v>
      </c>
      <c r="L23" s="13"/>
      <c r="M23" s="13">
        <v>225050</v>
      </c>
      <c r="N23" s="13"/>
      <c r="O23" s="13">
        <v>0</v>
      </c>
      <c r="P23" s="13"/>
      <c r="Q23" s="13">
        <v>375013</v>
      </c>
      <c r="R23" s="13"/>
      <c r="S23" s="13">
        <v>290972</v>
      </c>
      <c r="T23" s="21"/>
      <c r="U23" s="13">
        <v>0</v>
      </c>
      <c r="V23" s="13"/>
      <c r="W23" s="13">
        <v>0</v>
      </c>
      <c r="X23" s="13"/>
      <c r="Y23" s="13">
        <v>56502</v>
      </c>
      <c r="Z23" s="13"/>
      <c r="AA23" s="13">
        <v>8309</v>
      </c>
      <c r="AB23" s="13"/>
      <c r="AC23" s="21">
        <f t="shared" si="0"/>
        <v>8040461</v>
      </c>
      <c r="AD23" s="22"/>
      <c r="AE23" s="13">
        <v>208157</v>
      </c>
      <c r="AG23" s="13">
        <v>1220984</v>
      </c>
      <c r="AI23" s="16">
        <v>0</v>
      </c>
      <c r="AK23" s="16">
        <f>+GenRev!Q24-GenExp!AC23-AE23+GenRev!S24+AG23+AI23-'Gen Fd BS'!O24</f>
        <v>0</v>
      </c>
    </row>
    <row r="24" spans="1:37" s="16" customFormat="1" ht="12.75">
      <c r="A24" s="4" t="s">
        <v>257</v>
      </c>
      <c r="B24" s="4"/>
      <c r="C24" s="13">
        <v>3075801</v>
      </c>
      <c r="D24" s="13"/>
      <c r="E24" s="13">
        <v>1851305</v>
      </c>
      <c r="F24" s="13"/>
      <c r="G24" s="13">
        <v>2526805</v>
      </c>
      <c r="H24" s="13"/>
      <c r="I24" s="13">
        <v>137944</v>
      </c>
      <c r="J24" s="13"/>
      <c r="K24" s="13">
        <v>313327</v>
      </c>
      <c r="L24" s="13"/>
      <c r="M24" s="13">
        <v>335140</v>
      </c>
      <c r="N24" s="13"/>
      <c r="O24" s="13">
        <v>0</v>
      </c>
      <c r="P24" s="13"/>
      <c r="Q24" s="13">
        <v>0</v>
      </c>
      <c r="R24" s="13"/>
      <c r="S24" s="13">
        <v>0</v>
      </c>
      <c r="T24" s="21"/>
      <c r="U24" s="13">
        <v>0</v>
      </c>
      <c r="V24" s="13"/>
      <c r="W24" s="13">
        <v>0</v>
      </c>
      <c r="X24" s="13"/>
      <c r="Y24" s="13">
        <v>0</v>
      </c>
      <c r="Z24" s="13"/>
      <c r="AA24" s="13">
        <v>0</v>
      </c>
      <c r="AB24" s="13"/>
      <c r="AC24" s="21">
        <f t="shared" si="0"/>
        <v>8240322</v>
      </c>
      <c r="AD24" s="22"/>
      <c r="AE24" s="13">
        <v>1528285</v>
      </c>
      <c r="AG24" s="13">
        <v>5163067</v>
      </c>
      <c r="AI24" s="16">
        <v>0</v>
      </c>
      <c r="AK24" s="16">
        <f>+GenRev!Q25-GenExp!AC24-AE24+GenRev!S25+AG24+AI24-'Gen Fd BS'!O25</f>
        <v>0</v>
      </c>
    </row>
    <row r="25" spans="1:37" s="16" customFormat="1" ht="12.75">
      <c r="A25" s="4" t="s">
        <v>25</v>
      </c>
      <c r="B25" s="4"/>
      <c r="C25" s="13">
        <v>64687000</v>
      </c>
      <c r="D25" s="13"/>
      <c r="E25" s="13">
        <v>246115000</v>
      </c>
      <c r="F25" s="13"/>
      <c r="G25" s="13">
        <v>0</v>
      </c>
      <c r="H25" s="13"/>
      <c r="I25" s="13">
        <v>0</v>
      </c>
      <c r="J25" s="13"/>
      <c r="K25" s="13">
        <v>11307000</v>
      </c>
      <c r="L25" s="13"/>
      <c r="M25" s="13">
        <v>5602000</v>
      </c>
      <c r="N25" s="13"/>
      <c r="O25" s="13">
        <v>8227000</v>
      </c>
      <c r="P25" s="13"/>
      <c r="Q25" s="13">
        <v>0</v>
      </c>
      <c r="R25" s="13"/>
      <c r="S25" s="13">
        <v>0</v>
      </c>
      <c r="T25" s="21"/>
      <c r="U25" s="13">
        <v>0</v>
      </c>
      <c r="V25" s="13"/>
      <c r="W25" s="13">
        <v>0</v>
      </c>
      <c r="X25" s="13"/>
      <c r="Y25" s="13">
        <v>0</v>
      </c>
      <c r="Z25" s="13"/>
      <c r="AA25" s="13">
        <v>25000</v>
      </c>
      <c r="AB25" s="13"/>
      <c r="AC25" s="21">
        <f t="shared" si="0"/>
        <v>335963000</v>
      </c>
      <c r="AD25" s="22"/>
      <c r="AE25" s="13">
        <f>6473000+13611000</f>
        <v>20084000</v>
      </c>
      <c r="AG25" s="13">
        <v>170209000</v>
      </c>
      <c r="AI25" s="16">
        <v>0</v>
      </c>
      <c r="AK25" s="16">
        <f>+GenRev!Q26-GenExp!AC25-AE25+GenRev!S26+AG25+AI25-'Gen Fd BS'!O26</f>
        <v>0</v>
      </c>
    </row>
    <row r="26" spans="1:37" s="16" customFormat="1" ht="12.75">
      <c r="A26" s="4" t="s">
        <v>26</v>
      </c>
      <c r="B26" s="4"/>
      <c r="C26" s="13">
        <v>5543589</v>
      </c>
      <c r="D26" s="13"/>
      <c r="E26" s="13">
        <v>0</v>
      </c>
      <c r="F26" s="13"/>
      <c r="G26" s="13">
        <v>3813689</v>
      </c>
      <c r="H26" s="13"/>
      <c r="I26" s="13">
        <v>123670</v>
      </c>
      <c r="J26" s="13"/>
      <c r="K26" s="13">
        <v>66630</v>
      </c>
      <c r="L26" s="13"/>
      <c r="M26" s="13">
        <v>305714</v>
      </c>
      <c r="N26" s="13"/>
      <c r="O26" s="13">
        <v>208902</v>
      </c>
      <c r="P26" s="13"/>
      <c r="Q26" s="13">
        <v>0</v>
      </c>
      <c r="R26" s="13"/>
      <c r="S26" s="13">
        <v>0</v>
      </c>
      <c r="T26" s="21"/>
      <c r="U26" s="13">
        <v>0</v>
      </c>
      <c r="V26" s="13"/>
      <c r="W26" s="13">
        <v>0</v>
      </c>
      <c r="X26" s="13"/>
      <c r="Y26" s="13">
        <v>0</v>
      </c>
      <c r="Z26" s="13"/>
      <c r="AA26" s="13">
        <v>0</v>
      </c>
      <c r="AB26" s="13"/>
      <c r="AC26" s="21">
        <f t="shared" si="0"/>
        <v>10062194</v>
      </c>
      <c r="AD26" s="22"/>
      <c r="AE26" s="13">
        <v>3362381</v>
      </c>
      <c r="AG26" s="13">
        <v>2383734</v>
      </c>
      <c r="AI26" s="16">
        <v>24880</v>
      </c>
      <c r="AK26" s="16">
        <f>+GenRev!Q27-GenExp!AC26-AE26+GenRev!S27+AG26+AI26-'Gen Fd BS'!O27</f>
        <v>0</v>
      </c>
    </row>
    <row r="27" spans="1:37" s="16" customFormat="1" ht="12.75">
      <c r="A27" s="4" t="s">
        <v>27</v>
      </c>
      <c r="B27" s="4"/>
      <c r="C27" s="13">
        <v>3037045</v>
      </c>
      <c r="D27" s="13"/>
      <c r="E27" s="13">
        <v>1223291</v>
      </c>
      <c r="F27" s="13"/>
      <c r="G27" s="13">
        <v>1971265</v>
      </c>
      <c r="H27" s="13"/>
      <c r="I27" s="13">
        <v>242035</v>
      </c>
      <c r="J27" s="13"/>
      <c r="K27" s="13">
        <v>36243</v>
      </c>
      <c r="L27" s="13"/>
      <c r="M27" s="13">
        <v>305384</v>
      </c>
      <c r="N27" s="13"/>
      <c r="O27" s="13">
        <v>0</v>
      </c>
      <c r="P27" s="13"/>
      <c r="Q27" s="13">
        <v>0</v>
      </c>
      <c r="R27" s="13"/>
      <c r="S27" s="13">
        <v>2028052</v>
      </c>
      <c r="T27" s="21"/>
      <c r="U27" s="13">
        <v>0</v>
      </c>
      <c r="V27" s="13"/>
      <c r="W27" s="13">
        <v>0</v>
      </c>
      <c r="X27" s="13"/>
      <c r="Y27" s="13">
        <v>0</v>
      </c>
      <c r="Z27" s="13"/>
      <c r="AA27" s="13">
        <v>269691</v>
      </c>
      <c r="AB27" s="13"/>
      <c r="AC27" s="21">
        <f aca="true" t="shared" si="1" ref="AC27:AC73">SUM(C27:AA27)</f>
        <v>9113006</v>
      </c>
      <c r="AD27" s="22"/>
      <c r="AE27" s="13">
        <v>4226076</v>
      </c>
      <c r="AG27" s="13">
        <v>10079870</v>
      </c>
      <c r="AI27" s="16">
        <v>0</v>
      </c>
      <c r="AK27" s="16">
        <f>+GenRev!Q28-GenExp!AC27-AE27+GenRev!S28+AG27+AI27-'Gen Fd BS'!O28</f>
        <v>0</v>
      </c>
    </row>
    <row r="28" spans="1:37" s="16" customFormat="1" ht="12.75">
      <c r="A28" s="4" t="s">
        <v>28</v>
      </c>
      <c r="B28" s="4"/>
      <c r="C28" s="13">
        <v>9768165</v>
      </c>
      <c r="D28" s="13"/>
      <c r="E28" s="13">
        <v>6560856</v>
      </c>
      <c r="F28" s="13"/>
      <c r="G28" s="13">
        <v>22977272</v>
      </c>
      <c r="H28" s="13"/>
      <c r="I28" s="13">
        <v>245964</v>
      </c>
      <c r="J28" s="13"/>
      <c r="K28" s="13">
        <v>61618</v>
      </c>
      <c r="L28" s="13"/>
      <c r="M28" s="13">
        <v>338282</v>
      </c>
      <c r="N28" s="13"/>
      <c r="O28" s="13">
        <v>0</v>
      </c>
      <c r="P28" s="13"/>
      <c r="Q28" s="13">
        <v>0</v>
      </c>
      <c r="R28" s="13"/>
      <c r="S28" s="13">
        <v>0</v>
      </c>
      <c r="T28" s="21"/>
      <c r="U28" s="13">
        <v>24209</v>
      </c>
      <c r="V28" s="13"/>
      <c r="W28" s="13">
        <v>692730</v>
      </c>
      <c r="X28" s="13"/>
      <c r="Y28" s="13">
        <v>0</v>
      </c>
      <c r="Z28" s="13"/>
      <c r="AA28" s="13">
        <v>0</v>
      </c>
      <c r="AB28" s="13"/>
      <c r="AC28" s="21">
        <f t="shared" si="1"/>
        <v>40669096</v>
      </c>
      <c r="AD28" s="22"/>
      <c r="AE28" s="13">
        <v>8838020</v>
      </c>
      <c r="AG28" s="13">
        <v>16835194</v>
      </c>
      <c r="AI28" s="16">
        <v>0</v>
      </c>
      <c r="AK28" s="16">
        <f>+GenRev!Q29-GenExp!AC28-AE28+GenRev!S29+AG28+AI28-'Gen Fd BS'!O29</f>
        <v>0</v>
      </c>
    </row>
    <row r="29" spans="1:37" s="16" customFormat="1" ht="12.75">
      <c r="A29" s="4" t="s">
        <v>29</v>
      </c>
      <c r="B29" s="4"/>
      <c r="C29" s="13">
        <v>8966928</v>
      </c>
      <c r="D29" s="13"/>
      <c r="E29" s="13">
        <v>6320658</v>
      </c>
      <c r="F29" s="13"/>
      <c r="G29" s="13">
        <v>6529799</v>
      </c>
      <c r="H29" s="13"/>
      <c r="I29" s="13">
        <v>75381</v>
      </c>
      <c r="J29" s="13"/>
      <c r="K29" s="13">
        <v>142964</v>
      </c>
      <c r="L29" s="13"/>
      <c r="M29" s="13">
        <v>481466</v>
      </c>
      <c r="N29" s="13"/>
      <c r="O29" s="13">
        <v>383492</v>
      </c>
      <c r="P29" s="13"/>
      <c r="Q29" s="13">
        <v>0</v>
      </c>
      <c r="R29" s="13"/>
      <c r="S29" s="13">
        <v>154115</v>
      </c>
      <c r="T29" s="21"/>
      <c r="U29" s="13">
        <v>46770</v>
      </c>
      <c r="V29" s="13"/>
      <c r="W29" s="13">
        <v>0</v>
      </c>
      <c r="X29" s="13"/>
      <c r="Y29" s="13">
        <v>6273</v>
      </c>
      <c r="Z29" s="13"/>
      <c r="AA29" s="13">
        <v>1475</v>
      </c>
      <c r="AB29" s="13"/>
      <c r="AC29" s="21">
        <f t="shared" si="1"/>
        <v>23109321</v>
      </c>
      <c r="AD29" s="22"/>
      <c r="AE29" s="13">
        <v>3770046</v>
      </c>
      <c r="AG29" s="13">
        <v>9057443</v>
      </c>
      <c r="AI29" s="50">
        <v>31408</v>
      </c>
      <c r="AK29" s="16">
        <f>+GenRev!Q30-GenExp!AC29-AE29+GenRev!S30+AG29+AI29-'Gen Fd BS'!O30</f>
        <v>0</v>
      </c>
    </row>
    <row r="30" spans="1:37" s="16" customFormat="1" ht="12.75">
      <c r="A30" s="4" t="s">
        <v>30</v>
      </c>
      <c r="B30" s="4"/>
      <c r="C30" s="13">
        <v>7565169</v>
      </c>
      <c r="D30" s="13"/>
      <c r="E30" s="13">
        <v>3851998</v>
      </c>
      <c r="F30" s="13"/>
      <c r="G30" s="13">
        <v>10955014</v>
      </c>
      <c r="H30" s="13"/>
      <c r="I30" s="13">
        <v>0</v>
      </c>
      <c r="J30" s="13"/>
      <c r="K30" s="13">
        <v>689378</v>
      </c>
      <c r="L30" s="13"/>
      <c r="M30" s="13">
        <v>738044</v>
      </c>
      <c r="N30" s="13"/>
      <c r="O30" s="13">
        <v>0</v>
      </c>
      <c r="P30" s="13"/>
      <c r="Q30" s="13">
        <v>0</v>
      </c>
      <c r="R30" s="13"/>
      <c r="S30" s="13">
        <f>51577+93137</f>
        <v>144714</v>
      </c>
      <c r="T30" s="21"/>
      <c r="U30" s="13">
        <v>0</v>
      </c>
      <c r="V30" s="13"/>
      <c r="W30" s="13">
        <v>1463123</v>
      </c>
      <c r="X30" s="13"/>
      <c r="Y30" s="13">
        <v>123255</v>
      </c>
      <c r="Z30" s="13"/>
      <c r="AA30" s="13">
        <v>4365</v>
      </c>
      <c r="AB30" s="13"/>
      <c r="AC30" s="21">
        <f t="shared" si="1"/>
        <v>25535060</v>
      </c>
      <c r="AD30" s="22"/>
      <c r="AE30" s="13">
        <v>4864411</v>
      </c>
      <c r="AG30" s="13">
        <v>12696284</v>
      </c>
      <c r="AI30" s="16">
        <v>0</v>
      </c>
      <c r="AK30" s="16">
        <f>+GenRev!Q31-GenExp!AC30-AE30+GenRev!S31+AG30+AI30-'Gen Fd BS'!O31</f>
        <v>0</v>
      </c>
    </row>
    <row r="31" spans="1:37" s="16" customFormat="1" ht="12.75" hidden="1">
      <c r="A31" s="4" t="s">
        <v>253</v>
      </c>
      <c r="B31" s="4"/>
      <c r="C31" s="13">
        <v>0</v>
      </c>
      <c r="D31" s="13"/>
      <c r="E31" s="13">
        <v>0</v>
      </c>
      <c r="F31" s="13"/>
      <c r="G31" s="13">
        <v>0</v>
      </c>
      <c r="H31" s="13"/>
      <c r="I31" s="13">
        <v>0</v>
      </c>
      <c r="J31" s="13"/>
      <c r="K31" s="13">
        <v>0</v>
      </c>
      <c r="L31" s="13"/>
      <c r="M31" s="13">
        <v>0</v>
      </c>
      <c r="N31" s="13"/>
      <c r="O31" s="13">
        <v>0</v>
      </c>
      <c r="P31" s="13"/>
      <c r="Q31" s="13">
        <v>0</v>
      </c>
      <c r="R31" s="13"/>
      <c r="S31" s="13">
        <v>0</v>
      </c>
      <c r="T31" s="21"/>
      <c r="U31" s="13">
        <v>0</v>
      </c>
      <c r="V31" s="13"/>
      <c r="W31" s="13">
        <v>0</v>
      </c>
      <c r="X31" s="13"/>
      <c r="Y31" s="13">
        <v>0</v>
      </c>
      <c r="Z31" s="13"/>
      <c r="AA31" s="13">
        <v>0</v>
      </c>
      <c r="AB31" s="13"/>
      <c r="AC31" s="21">
        <f t="shared" si="1"/>
        <v>0</v>
      </c>
      <c r="AD31" s="22"/>
      <c r="AE31" s="13">
        <v>0</v>
      </c>
      <c r="AG31" s="13">
        <v>0</v>
      </c>
      <c r="AI31" s="16">
        <v>0</v>
      </c>
      <c r="AK31" s="16">
        <f>+GenRev!Q32-GenExp!AC31-AE31+GenRev!S32+AG31+AI31-'Gen Fd BS'!O32</f>
        <v>0</v>
      </c>
    </row>
    <row r="32" spans="1:37" s="16" customFormat="1" ht="12.75">
      <c r="A32" s="4" t="s">
        <v>32</v>
      </c>
      <c r="B32" s="4"/>
      <c r="C32" s="13">
        <v>67768000</v>
      </c>
      <c r="D32" s="13"/>
      <c r="E32" s="13">
        <v>61387000</v>
      </c>
      <c r="F32" s="13"/>
      <c r="G32" s="13">
        <v>95202000</v>
      </c>
      <c r="H32" s="13"/>
      <c r="I32" s="13">
        <v>427000</v>
      </c>
      <c r="J32" s="13"/>
      <c r="K32" s="13">
        <v>0</v>
      </c>
      <c r="L32" s="13"/>
      <c r="M32" s="13">
        <v>3500000</v>
      </c>
      <c r="N32" s="13"/>
      <c r="O32" s="13">
        <v>902000</v>
      </c>
      <c r="P32" s="13"/>
      <c r="Q32" s="13">
        <v>0</v>
      </c>
      <c r="R32" s="13"/>
      <c r="S32" s="13">
        <v>0</v>
      </c>
      <c r="T32" s="21"/>
      <c r="U32" s="13">
        <v>2060000</v>
      </c>
      <c r="V32" s="13"/>
      <c r="W32" s="13">
        <v>6027000</v>
      </c>
      <c r="X32" s="13"/>
      <c r="Y32" s="13">
        <v>210000</v>
      </c>
      <c r="Z32" s="13"/>
      <c r="AA32" s="13">
        <v>56000</v>
      </c>
      <c r="AB32" s="13"/>
      <c r="AC32" s="21">
        <f t="shared" si="1"/>
        <v>237539000</v>
      </c>
      <c r="AD32" s="22"/>
      <c r="AE32" s="13">
        <f>24183000</f>
        <v>24183000</v>
      </c>
      <c r="AG32" s="13">
        <v>81577000</v>
      </c>
      <c r="AI32" s="16">
        <v>0</v>
      </c>
      <c r="AK32" s="16">
        <f>+GenRev!Q33-GenExp!AC32-AE32+GenRev!S33+AG32+AI32-'Gen Fd BS'!O33</f>
        <v>0</v>
      </c>
    </row>
    <row r="33" spans="1:37" s="16" customFormat="1" ht="12.75">
      <c r="A33" s="4" t="s">
        <v>33</v>
      </c>
      <c r="B33" s="4"/>
      <c r="C33" s="13">
        <v>4483283</v>
      </c>
      <c r="D33" s="13"/>
      <c r="E33" s="13">
        <v>1525909</v>
      </c>
      <c r="F33" s="13"/>
      <c r="G33" s="13">
        <v>2972805</v>
      </c>
      <c r="H33" s="13"/>
      <c r="I33" s="13">
        <v>61942</v>
      </c>
      <c r="J33" s="13"/>
      <c r="K33" s="13">
        <v>108293</v>
      </c>
      <c r="L33" s="13"/>
      <c r="M33" s="13">
        <v>625465</v>
      </c>
      <c r="N33" s="13"/>
      <c r="O33" s="13">
        <v>0</v>
      </c>
      <c r="P33" s="13"/>
      <c r="Q33" s="13">
        <v>0</v>
      </c>
      <c r="R33" s="13"/>
      <c r="S33" s="13">
        <v>39159</v>
      </c>
      <c r="T33" s="21"/>
      <c r="U33" s="13">
        <v>134848</v>
      </c>
      <c r="V33" s="13"/>
      <c r="W33" s="13">
        <v>875966</v>
      </c>
      <c r="X33" s="13"/>
      <c r="Y33" s="13">
        <v>0</v>
      </c>
      <c r="Z33" s="13"/>
      <c r="AA33" s="13">
        <v>0</v>
      </c>
      <c r="AB33" s="13"/>
      <c r="AC33" s="21">
        <f t="shared" si="1"/>
        <v>10827670</v>
      </c>
      <c r="AD33" s="22"/>
      <c r="AE33" s="13">
        <v>319114</v>
      </c>
      <c r="AG33" s="13">
        <v>4822413</v>
      </c>
      <c r="AI33" s="16">
        <v>0</v>
      </c>
      <c r="AK33" s="16">
        <f>+GenRev!Q34-GenExp!AC33-AE33+GenRev!S34+AG33+AI33-'Gen Fd BS'!O34</f>
        <v>0</v>
      </c>
    </row>
    <row r="34" spans="1:37" s="16" customFormat="1" ht="12.75">
      <c r="A34" s="4" t="s">
        <v>34</v>
      </c>
      <c r="B34" s="4"/>
      <c r="C34" s="13">
        <v>2175726</v>
      </c>
      <c r="D34" s="13"/>
      <c r="E34" s="13">
        <v>860094</v>
      </c>
      <c r="F34" s="13"/>
      <c r="G34" s="13">
        <v>2463109</v>
      </c>
      <c r="H34" s="13"/>
      <c r="I34" s="13">
        <v>136719</v>
      </c>
      <c r="J34" s="13"/>
      <c r="K34" s="13">
        <v>51711</v>
      </c>
      <c r="L34" s="13"/>
      <c r="M34" s="13">
        <v>304889</v>
      </c>
      <c r="N34" s="13"/>
      <c r="O34" s="13">
        <v>0</v>
      </c>
      <c r="P34" s="13"/>
      <c r="Q34" s="13">
        <v>0</v>
      </c>
      <c r="R34" s="13"/>
      <c r="S34" s="13">
        <v>666040</v>
      </c>
      <c r="T34" s="21"/>
      <c r="U34" s="13">
        <v>114879</v>
      </c>
      <c r="V34" s="13"/>
      <c r="W34" s="13">
        <v>0</v>
      </c>
      <c r="X34" s="13"/>
      <c r="Y34" s="13">
        <v>5540</v>
      </c>
      <c r="Z34" s="13"/>
      <c r="AA34" s="13">
        <v>726</v>
      </c>
      <c r="AB34" s="13"/>
      <c r="AC34" s="21">
        <f t="shared" si="1"/>
        <v>6779433</v>
      </c>
      <c r="AD34" s="22"/>
      <c r="AE34" s="13">
        <v>1146446</v>
      </c>
      <c r="AG34" s="13">
        <v>1556982</v>
      </c>
      <c r="AI34" s="16">
        <v>0</v>
      </c>
      <c r="AK34" s="16">
        <f>+GenRev!Q35-GenExp!AC34-AE34+GenRev!S35+AG34+AI34-'Gen Fd BS'!O35</f>
        <v>0</v>
      </c>
    </row>
    <row r="35" spans="1:37" s="16" customFormat="1" ht="12.75">
      <c r="A35" s="4" t="s">
        <v>35</v>
      </c>
      <c r="B35" s="4"/>
      <c r="C35" s="13">
        <v>7867364</v>
      </c>
      <c r="D35" s="13"/>
      <c r="E35" s="13">
        <v>2600731</v>
      </c>
      <c r="F35" s="13"/>
      <c r="G35" s="13">
        <v>10170580</v>
      </c>
      <c r="H35" s="13"/>
      <c r="I35" s="13">
        <v>143500</v>
      </c>
      <c r="J35" s="13"/>
      <c r="K35" s="13">
        <v>726602</v>
      </c>
      <c r="L35" s="13"/>
      <c r="M35" s="13">
        <v>335012</v>
      </c>
      <c r="N35" s="13"/>
      <c r="O35" s="13">
        <v>0</v>
      </c>
      <c r="P35" s="13"/>
      <c r="Q35" s="13">
        <v>0</v>
      </c>
      <c r="R35" s="13"/>
      <c r="S35" s="13">
        <v>0</v>
      </c>
      <c r="T35" s="21"/>
      <c r="U35" s="13">
        <v>0</v>
      </c>
      <c r="V35" s="13"/>
      <c r="W35" s="13">
        <v>0</v>
      </c>
      <c r="X35" s="13"/>
      <c r="Y35" s="13">
        <v>12688</v>
      </c>
      <c r="Z35" s="13"/>
      <c r="AA35" s="13">
        <v>583</v>
      </c>
      <c r="AB35" s="13"/>
      <c r="AC35" s="21">
        <f t="shared" si="1"/>
        <v>21857060</v>
      </c>
      <c r="AD35" s="22"/>
      <c r="AE35" s="13">
        <v>6421859</v>
      </c>
      <c r="AG35" s="13">
        <v>6170007</v>
      </c>
      <c r="AI35" s="16">
        <v>0</v>
      </c>
      <c r="AK35" s="16">
        <f>+GenRev!Q36-GenExp!AC35-AE35+GenRev!S36+AG35+AI35-'Gen Fd BS'!O36</f>
        <v>0</v>
      </c>
    </row>
    <row r="36" spans="1:37" s="16" customFormat="1" ht="12.75">
      <c r="A36" s="4" t="s">
        <v>185</v>
      </c>
      <c r="B36" s="4"/>
      <c r="C36" s="13">
        <v>16220466</v>
      </c>
      <c r="D36" s="13"/>
      <c r="E36" s="13">
        <v>6812989</v>
      </c>
      <c r="F36" s="13"/>
      <c r="G36" s="13">
        <v>15389963</v>
      </c>
      <c r="H36" s="13"/>
      <c r="I36" s="13">
        <v>999962</v>
      </c>
      <c r="J36" s="13"/>
      <c r="K36" s="13">
        <v>191931</v>
      </c>
      <c r="L36" s="13"/>
      <c r="M36" s="13">
        <v>497549</v>
      </c>
      <c r="N36" s="13"/>
      <c r="O36" s="13">
        <v>10477646</v>
      </c>
      <c r="P36" s="13"/>
      <c r="Q36" s="13">
        <v>2693873</v>
      </c>
      <c r="R36" s="13"/>
      <c r="S36" s="13">
        <v>0</v>
      </c>
      <c r="T36" s="21"/>
      <c r="U36" s="13">
        <v>0</v>
      </c>
      <c r="V36" s="13"/>
      <c r="W36" s="13">
        <v>0</v>
      </c>
      <c r="X36" s="13"/>
      <c r="Y36" s="13">
        <v>830000</v>
      </c>
      <c r="Z36" s="13"/>
      <c r="AA36" s="13">
        <v>702491</v>
      </c>
      <c r="AB36" s="13"/>
      <c r="AC36" s="21">
        <f t="shared" si="1"/>
        <v>54816870</v>
      </c>
      <c r="AD36" s="22"/>
      <c r="AE36" s="13">
        <v>2505525</v>
      </c>
      <c r="AG36" s="13">
        <v>8082582</v>
      </c>
      <c r="AI36" s="16">
        <v>0</v>
      </c>
      <c r="AK36" s="16">
        <f>+GenRev!Q37-GenExp!AC36-AE36+GenRev!S37+AG36+AI36-'Gen Fd BS'!O37</f>
        <v>0</v>
      </c>
    </row>
    <row r="37" spans="1:37" s="16" customFormat="1" ht="12.75" hidden="1">
      <c r="A37" s="4" t="s">
        <v>258</v>
      </c>
      <c r="B37" s="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21"/>
      <c r="U37" s="13"/>
      <c r="V37" s="13"/>
      <c r="W37" s="13"/>
      <c r="X37" s="13"/>
      <c r="Y37" s="13"/>
      <c r="Z37" s="13"/>
      <c r="AA37" s="13"/>
      <c r="AB37" s="13"/>
      <c r="AC37" s="21">
        <f t="shared" si="1"/>
        <v>0</v>
      </c>
      <c r="AD37" s="22"/>
      <c r="AE37" s="13"/>
      <c r="AG37" s="13"/>
      <c r="AK37" s="16">
        <f>+GenRev!Q38-GenExp!AC37-AE37+GenRev!S38+AG37+AI37-'Gen Fd BS'!O38</f>
        <v>0</v>
      </c>
    </row>
    <row r="38" spans="1:37" s="16" customFormat="1" ht="12.75" hidden="1">
      <c r="A38" s="4" t="s">
        <v>259</v>
      </c>
      <c r="B38" s="4"/>
      <c r="C38" s="13">
        <v>0</v>
      </c>
      <c r="D38" s="13"/>
      <c r="E38" s="13">
        <v>0</v>
      </c>
      <c r="F38" s="13"/>
      <c r="G38" s="13">
        <v>0</v>
      </c>
      <c r="H38" s="13"/>
      <c r="I38" s="13">
        <v>0</v>
      </c>
      <c r="J38" s="13"/>
      <c r="K38" s="13">
        <v>0</v>
      </c>
      <c r="L38" s="13"/>
      <c r="M38" s="13">
        <v>0</v>
      </c>
      <c r="N38" s="13"/>
      <c r="O38" s="13">
        <v>0</v>
      </c>
      <c r="P38" s="13"/>
      <c r="Q38" s="13">
        <v>0</v>
      </c>
      <c r="R38" s="13"/>
      <c r="S38" s="13">
        <v>0</v>
      </c>
      <c r="T38" s="21"/>
      <c r="U38" s="13">
        <v>0</v>
      </c>
      <c r="V38" s="13"/>
      <c r="W38" s="13">
        <v>0</v>
      </c>
      <c r="X38" s="13"/>
      <c r="Y38" s="13">
        <v>0</v>
      </c>
      <c r="Z38" s="13"/>
      <c r="AA38" s="13">
        <v>0</v>
      </c>
      <c r="AB38" s="13"/>
      <c r="AC38" s="21">
        <f t="shared" si="1"/>
        <v>0</v>
      </c>
      <c r="AD38" s="22"/>
      <c r="AE38" s="13">
        <v>0</v>
      </c>
      <c r="AG38" s="13">
        <v>0</v>
      </c>
      <c r="AI38" s="16">
        <v>0</v>
      </c>
      <c r="AK38" s="16">
        <f>+GenRev!Q39-GenExp!AC38-AE38+GenRev!S39+AG38+AI38-'Gen Fd BS'!O39</f>
        <v>0</v>
      </c>
    </row>
    <row r="39" spans="1:37" s="16" customFormat="1" ht="12.75">
      <c r="A39" s="4" t="s">
        <v>38</v>
      </c>
      <c r="B39" s="4"/>
      <c r="C39" s="13">
        <v>4973374</v>
      </c>
      <c r="D39" s="13"/>
      <c r="E39" s="13">
        <v>2941898</v>
      </c>
      <c r="F39" s="13"/>
      <c r="G39" s="13">
        <v>6077977</v>
      </c>
      <c r="H39" s="13"/>
      <c r="I39" s="13">
        <v>117387</v>
      </c>
      <c r="J39" s="13"/>
      <c r="K39" s="13">
        <v>582154</v>
      </c>
      <c r="L39" s="13"/>
      <c r="M39" s="13">
        <v>502983</v>
      </c>
      <c r="N39" s="13"/>
      <c r="O39" s="13">
        <v>0</v>
      </c>
      <c r="P39" s="13"/>
      <c r="Q39" s="13">
        <v>0</v>
      </c>
      <c r="R39" s="13"/>
      <c r="S39" s="13">
        <v>0</v>
      </c>
      <c r="T39" s="21"/>
      <c r="U39" s="13">
        <v>0</v>
      </c>
      <c r="V39" s="13"/>
      <c r="W39" s="13">
        <v>417273</v>
      </c>
      <c r="X39" s="13"/>
      <c r="Y39" s="13">
        <v>0</v>
      </c>
      <c r="Z39" s="13"/>
      <c r="AA39" s="13">
        <v>0</v>
      </c>
      <c r="AB39" s="13"/>
      <c r="AC39" s="21">
        <f t="shared" si="1"/>
        <v>15613046</v>
      </c>
      <c r="AD39" s="22"/>
      <c r="AE39" s="13">
        <v>839590</v>
      </c>
      <c r="AG39" s="13">
        <v>5917782</v>
      </c>
      <c r="AI39" s="16">
        <v>0</v>
      </c>
      <c r="AK39" s="16">
        <f>+GenRev!Q40-GenExp!AC39-AE39+GenRev!S40+AG39+AI39-'Gen Fd BS'!O40</f>
        <v>0</v>
      </c>
    </row>
    <row r="40" spans="1:37" s="16" customFormat="1" ht="12.75" hidden="1">
      <c r="A40" s="4" t="s">
        <v>168</v>
      </c>
      <c r="B40" s="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1"/>
      <c r="U40" s="13"/>
      <c r="V40" s="13"/>
      <c r="W40" s="13"/>
      <c r="X40" s="13"/>
      <c r="Y40" s="13"/>
      <c r="Z40" s="13"/>
      <c r="AA40" s="13"/>
      <c r="AB40" s="13"/>
      <c r="AC40" s="21">
        <f t="shared" si="1"/>
        <v>0</v>
      </c>
      <c r="AD40" s="22"/>
      <c r="AE40" s="13"/>
      <c r="AG40" s="13"/>
      <c r="AI40" s="16">
        <v>0</v>
      </c>
      <c r="AK40" s="16">
        <f>+GenRev!Q41-GenExp!AC40-AE40+GenRev!S41+AG40+AI40-'Gen Fd BS'!O41</f>
        <v>0</v>
      </c>
    </row>
    <row r="41" spans="1:37" s="16" customFormat="1" ht="12.75" hidden="1">
      <c r="A41" s="4" t="s">
        <v>39</v>
      </c>
      <c r="B41" s="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21"/>
      <c r="U41" s="13"/>
      <c r="V41" s="13"/>
      <c r="W41" s="13"/>
      <c r="X41" s="13"/>
      <c r="Y41" s="13"/>
      <c r="Z41" s="13"/>
      <c r="AA41" s="13"/>
      <c r="AB41" s="13"/>
      <c r="AC41" s="21">
        <f t="shared" si="1"/>
        <v>0</v>
      </c>
      <c r="AD41" s="22"/>
      <c r="AE41" s="13"/>
      <c r="AG41" s="13"/>
      <c r="AI41" s="16">
        <v>0</v>
      </c>
      <c r="AK41" s="16">
        <f>+GenRev!Q42-GenExp!AC41-AE41+GenRev!S42+AG41+AI41-'Gen Fd BS'!O42</f>
        <v>0</v>
      </c>
    </row>
    <row r="42" spans="1:37" s="16" customFormat="1" ht="12.75">
      <c r="A42" s="4" t="s">
        <v>40</v>
      </c>
      <c r="B42" s="4"/>
      <c r="C42" s="13">
        <v>2045137</v>
      </c>
      <c r="D42" s="13"/>
      <c r="E42" s="13">
        <v>883880</v>
      </c>
      <c r="F42" s="13"/>
      <c r="G42" s="13">
        <v>1916108</v>
      </c>
      <c r="H42" s="13"/>
      <c r="I42" s="13">
        <v>85405</v>
      </c>
      <c r="J42" s="13"/>
      <c r="K42" s="13">
        <v>46314</v>
      </c>
      <c r="L42" s="13"/>
      <c r="M42" s="13">
        <v>240321</v>
      </c>
      <c r="N42" s="13"/>
      <c r="O42" s="13">
        <v>1783</v>
      </c>
      <c r="P42" s="13"/>
      <c r="Q42" s="13">
        <v>0</v>
      </c>
      <c r="R42" s="13"/>
      <c r="S42" s="13">
        <f>379849</f>
        <v>379849</v>
      </c>
      <c r="T42" s="21"/>
      <c r="U42" s="13">
        <v>2400</v>
      </c>
      <c r="V42" s="13"/>
      <c r="W42" s="13">
        <v>0</v>
      </c>
      <c r="X42" s="13"/>
      <c r="Y42" s="13">
        <v>0</v>
      </c>
      <c r="Z42" s="13"/>
      <c r="AA42" s="13">
        <v>0</v>
      </c>
      <c r="AB42" s="13"/>
      <c r="AC42" s="21">
        <f t="shared" si="1"/>
        <v>5601197</v>
      </c>
      <c r="AD42" s="22"/>
      <c r="AE42" s="13">
        <v>647768</v>
      </c>
      <c r="AG42" s="13">
        <v>1763126</v>
      </c>
      <c r="AI42" s="16">
        <v>0</v>
      </c>
      <c r="AK42" s="16">
        <f>+GenRev!Q43-GenExp!AC42-AE42+GenRev!S43+AG42+AI42-'Gen Fd BS'!O43</f>
        <v>0</v>
      </c>
    </row>
    <row r="43" spans="1:37" s="16" customFormat="1" ht="12.75" hidden="1">
      <c r="A43" s="4" t="s">
        <v>41</v>
      </c>
      <c r="B43" s="4"/>
      <c r="C43" s="13">
        <v>0</v>
      </c>
      <c r="D43" s="13"/>
      <c r="E43" s="13">
        <v>0</v>
      </c>
      <c r="F43" s="13"/>
      <c r="G43" s="13">
        <v>0</v>
      </c>
      <c r="H43" s="13"/>
      <c r="I43" s="13">
        <v>0</v>
      </c>
      <c r="J43" s="13"/>
      <c r="K43" s="13">
        <v>0</v>
      </c>
      <c r="L43" s="13"/>
      <c r="M43" s="13">
        <v>0</v>
      </c>
      <c r="N43" s="13"/>
      <c r="O43" s="13">
        <v>0</v>
      </c>
      <c r="P43" s="13"/>
      <c r="Q43" s="13">
        <v>0</v>
      </c>
      <c r="R43" s="13"/>
      <c r="S43" s="13">
        <v>0</v>
      </c>
      <c r="T43" s="21"/>
      <c r="U43" s="13">
        <v>0</v>
      </c>
      <c r="V43" s="13"/>
      <c r="W43" s="13">
        <v>0</v>
      </c>
      <c r="X43" s="13"/>
      <c r="Y43" s="13">
        <v>0</v>
      </c>
      <c r="Z43" s="13"/>
      <c r="AA43" s="13">
        <v>0</v>
      </c>
      <c r="AB43" s="13"/>
      <c r="AC43" s="21">
        <f t="shared" si="1"/>
        <v>0</v>
      </c>
      <c r="AD43" s="22"/>
      <c r="AE43" s="13">
        <v>0</v>
      </c>
      <c r="AG43" s="13">
        <v>0</v>
      </c>
      <c r="AI43" s="16">
        <v>0</v>
      </c>
      <c r="AK43" s="16">
        <f>+GenRev!Q44-GenExp!AC43-AE43+GenRev!S44+AG43+AI43-'Gen Fd BS'!O44</f>
        <v>0</v>
      </c>
    </row>
    <row r="44" spans="1:37" s="16" customFormat="1" ht="12.75">
      <c r="A44" s="4" t="s">
        <v>42</v>
      </c>
      <c r="B44" s="4"/>
      <c r="C44" s="13">
        <v>2023110</v>
      </c>
      <c r="D44" s="13"/>
      <c r="E44" s="13">
        <v>1358851</v>
      </c>
      <c r="F44" s="13"/>
      <c r="G44" s="13">
        <v>1679244</v>
      </c>
      <c r="H44" s="13"/>
      <c r="I44" s="13">
        <v>35997</v>
      </c>
      <c r="J44" s="13"/>
      <c r="K44" s="13">
        <v>57508</v>
      </c>
      <c r="L44" s="13"/>
      <c r="M44" s="13">
        <v>343322</v>
      </c>
      <c r="N44" s="13"/>
      <c r="O44" s="13">
        <v>66564</v>
      </c>
      <c r="P44" s="13"/>
      <c r="Q44" s="13">
        <v>227527</v>
      </c>
      <c r="R44" s="13"/>
      <c r="S44" s="13">
        <v>68673</v>
      </c>
      <c r="T44" s="21"/>
      <c r="U44" s="13">
        <v>39681</v>
      </c>
      <c r="V44" s="13"/>
      <c r="W44" s="13">
        <v>12064</v>
      </c>
      <c r="X44" s="13"/>
      <c r="Y44" s="13">
        <v>66654</v>
      </c>
      <c r="Z44" s="13"/>
      <c r="AA44" s="13">
        <v>4839</v>
      </c>
      <c r="AB44" s="13"/>
      <c r="AC44" s="21">
        <f t="shared" si="1"/>
        <v>5984034</v>
      </c>
      <c r="AD44" s="22"/>
      <c r="AE44" s="13">
        <v>431743</v>
      </c>
      <c r="AG44" s="13">
        <v>2222029</v>
      </c>
      <c r="AK44" s="16">
        <f>+GenRev!Q45-GenExp!AC44-AE44+GenRev!S45+AG44+AI44-'Gen Fd BS'!O45</f>
        <v>0</v>
      </c>
    </row>
    <row r="45" spans="1:37" s="16" customFormat="1" ht="12.75">
      <c r="A45" s="4" t="s">
        <v>43</v>
      </c>
      <c r="B45" s="4"/>
      <c r="C45" s="13">
        <v>3670330</v>
      </c>
      <c r="D45" s="13"/>
      <c r="E45" s="13">
        <v>1447388</v>
      </c>
      <c r="F45" s="13"/>
      <c r="G45" s="13">
        <v>3299755</v>
      </c>
      <c r="H45" s="13"/>
      <c r="I45" s="13">
        <v>59183</v>
      </c>
      <c r="J45" s="13"/>
      <c r="K45" s="13">
        <v>67678</v>
      </c>
      <c r="L45" s="13"/>
      <c r="M45" s="13">
        <v>299333</v>
      </c>
      <c r="N45" s="13"/>
      <c r="O45" s="13">
        <v>0</v>
      </c>
      <c r="P45" s="13"/>
      <c r="Q45" s="13">
        <v>285593</v>
      </c>
      <c r="R45" s="13"/>
      <c r="S45" s="13">
        <v>0</v>
      </c>
      <c r="T45" s="21"/>
      <c r="U45" s="13">
        <v>0</v>
      </c>
      <c r="V45" s="13"/>
      <c r="W45" s="13">
        <v>227200</v>
      </c>
      <c r="X45" s="13"/>
      <c r="Y45" s="13">
        <v>0</v>
      </c>
      <c r="Z45" s="13"/>
      <c r="AA45" s="13">
        <v>0</v>
      </c>
      <c r="AB45" s="13"/>
      <c r="AC45" s="21">
        <f t="shared" si="1"/>
        <v>9356460</v>
      </c>
      <c r="AD45" s="22"/>
      <c r="AE45" s="13">
        <f>801978+377399</f>
        <v>1179377</v>
      </c>
      <c r="AG45" s="13">
        <v>1623542</v>
      </c>
      <c r="AI45" s="16">
        <v>0</v>
      </c>
      <c r="AK45" s="16">
        <f>+GenRev!Q46-GenExp!AC45-AE45+GenRev!S46+AG45+AI45-'Gen Fd BS'!O46</f>
        <v>0</v>
      </c>
    </row>
    <row r="46" spans="1:37" s="16" customFormat="1" ht="12.75">
      <c r="A46" s="4" t="s">
        <v>44</v>
      </c>
      <c r="B46" s="4"/>
      <c r="C46" s="13">
        <v>5040151</v>
      </c>
      <c r="D46" s="13"/>
      <c r="E46" s="13">
        <v>2479488</v>
      </c>
      <c r="F46" s="13"/>
      <c r="G46" s="13">
        <v>4759914</v>
      </c>
      <c r="H46" s="13"/>
      <c r="I46" s="13">
        <v>0</v>
      </c>
      <c r="J46" s="13"/>
      <c r="K46" s="13">
        <v>74142</v>
      </c>
      <c r="L46" s="13"/>
      <c r="M46" s="13">
        <v>242665</v>
      </c>
      <c r="N46" s="13"/>
      <c r="O46" s="13">
        <v>0</v>
      </c>
      <c r="P46" s="13"/>
      <c r="Q46" s="13">
        <v>0</v>
      </c>
      <c r="R46" s="13"/>
      <c r="S46" s="13">
        <v>333237</v>
      </c>
      <c r="T46" s="21"/>
      <c r="U46" s="13">
        <v>62676</v>
      </c>
      <c r="V46" s="13"/>
      <c r="W46" s="13">
        <v>0</v>
      </c>
      <c r="X46" s="13"/>
      <c r="Y46" s="13">
        <v>0</v>
      </c>
      <c r="Z46" s="13"/>
      <c r="AA46" s="13">
        <v>0</v>
      </c>
      <c r="AB46" s="13"/>
      <c r="AC46" s="21">
        <f t="shared" si="1"/>
        <v>12992273</v>
      </c>
      <c r="AD46" s="22"/>
      <c r="AE46" s="13">
        <v>1534670</v>
      </c>
      <c r="AG46" s="13">
        <v>3559378</v>
      </c>
      <c r="AI46" s="16">
        <v>0</v>
      </c>
      <c r="AK46" s="16">
        <f>+GenRev!Q47-GenExp!AC46-AE46+GenRev!S47+AG46+AI46-'Gen Fd BS'!O47</f>
        <v>0</v>
      </c>
    </row>
    <row r="47" spans="1:37" s="16" customFormat="1" ht="12.75" hidden="1">
      <c r="A47" s="4" t="s">
        <v>255</v>
      </c>
      <c r="B47" s="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1"/>
      <c r="U47" s="13"/>
      <c r="V47" s="13"/>
      <c r="W47" s="13"/>
      <c r="X47" s="13"/>
      <c r="Y47" s="13"/>
      <c r="Z47" s="13"/>
      <c r="AA47" s="13"/>
      <c r="AB47" s="13"/>
      <c r="AC47" s="21">
        <f t="shared" si="1"/>
        <v>0</v>
      </c>
      <c r="AD47" s="22"/>
      <c r="AE47" s="13"/>
      <c r="AG47" s="13"/>
      <c r="AK47" s="16">
        <f>+GenRev!Q48-GenExp!AC47-AE47+GenRev!S48+AG47+AI47-'Gen Fd BS'!O48</f>
        <v>0</v>
      </c>
    </row>
    <row r="48" spans="1:37" s="16" customFormat="1" ht="12.75">
      <c r="A48" s="4" t="s">
        <v>46</v>
      </c>
      <c r="B48" s="4"/>
      <c r="C48" s="13">
        <v>4730991</v>
      </c>
      <c r="D48" s="13"/>
      <c r="E48" s="13">
        <v>3634044</v>
      </c>
      <c r="F48" s="13"/>
      <c r="G48" s="13">
        <v>240962</v>
      </c>
      <c r="H48" s="13"/>
      <c r="I48" s="13">
        <v>0</v>
      </c>
      <c r="J48" s="13"/>
      <c r="K48" s="13">
        <v>185971</v>
      </c>
      <c r="L48" s="13"/>
      <c r="M48" s="13">
        <v>866887</v>
      </c>
      <c r="N48" s="13"/>
      <c r="O48" s="13">
        <v>0</v>
      </c>
      <c r="P48" s="13"/>
      <c r="Q48" s="13">
        <v>0</v>
      </c>
      <c r="R48" s="13"/>
      <c r="S48" s="13">
        <v>410380</v>
      </c>
      <c r="T48" s="21"/>
      <c r="U48" s="13">
        <v>70890</v>
      </c>
      <c r="V48" s="13"/>
      <c r="W48" s="13">
        <v>116436</v>
      </c>
      <c r="X48" s="13"/>
      <c r="Y48" s="13">
        <v>13413</v>
      </c>
      <c r="Z48" s="13"/>
      <c r="AA48" s="13">
        <v>2398</v>
      </c>
      <c r="AB48" s="13"/>
      <c r="AC48" s="21">
        <f t="shared" si="1"/>
        <v>10272372</v>
      </c>
      <c r="AD48" s="22"/>
      <c r="AE48" s="13">
        <v>2277123</v>
      </c>
      <c r="AG48" s="13">
        <v>2942045</v>
      </c>
      <c r="AI48" s="16">
        <v>0</v>
      </c>
      <c r="AK48" s="16">
        <f>+GenRev!Q49-GenExp!AC48-AE48+GenRev!S49+AG48+AI48-'Gen Fd BS'!O49</f>
        <v>0</v>
      </c>
    </row>
    <row r="49" spans="1:37" s="16" customFormat="1" ht="12.75">
      <c r="A49" s="4" t="s">
        <v>47</v>
      </c>
      <c r="B49" s="4"/>
      <c r="C49" s="13">
        <v>5313686</v>
      </c>
      <c r="D49" s="13"/>
      <c r="E49" s="13">
        <v>1991183</v>
      </c>
      <c r="F49" s="13"/>
      <c r="G49" s="13">
        <v>3542284</v>
      </c>
      <c r="H49" s="13"/>
      <c r="I49" s="13">
        <v>269344</v>
      </c>
      <c r="J49" s="13"/>
      <c r="K49" s="13">
        <v>159877</v>
      </c>
      <c r="L49" s="13"/>
      <c r="M49" s="13">
        <v>528801</v>
      </c>
      <c r="N49" s="13"/>
      <c r="O49" s="13">
        <v>0</v>
      </c>
      <c r="P49" s="13"/>
      <c r="Q49" s="13">
        <v>0</v>
      </c>
      <c r="R49" s="13"/>
      <c r="S49" s="13">
        <v>0</v>
      </c>
      <c r="T49" s="21"/>
      <c r="U49" s="13">
        <v>310854</v>
      </c>
      <c r="V49" s="13"/>
      <c r="W49" s="13">
        <v>0</v>
      </c>
      <c r="X49" s="13"/>
      <c r="Y49" s="13">
        <v>444</v>
      </c>
      <c r="Z49" s="13"/>
      <c r="AA49" s="13">
        <v>5</v>
      </c>
      <c r="AB49" s="13"/>
      <c r="AC49" s="21">
        <f t="shared" si="1"/>
        <v>12116478</v>
      </c>
      <c r="AD49" s="22"/>
      <c r="AE49" s="13">
        <v>1242505</v>
      </c>
      <c r="AG49" s="13">
        <v>2295174</v>
      </c>
      <c r="AI49" s="16">
        <v>-109</v>
      </c>
      <c r="AK49" s="16">
        <f>+GenRev!Q50-GenExp!AC49-AE49+GenRev!S50+AG49+AI49-'Gen Fd BS'!O50</f>
        <v>0</v>
      </c>
    </row>
    <row r="50" spans="1:37" s="16" customFormat="1" ht="12.75">
      <c r="A50" s="4" t="s">
        <v>48</v>
      </c>
      <c r="B50" s="4"/>
      <c r="C50" s="13">
        <v>13893129</v>
      </c>
      <c r="D50" s="13"/>
      <c r="E50" s="13">
        <v>33398561</v>
      </c>
      <c r="F50" s="13"/>
      <c r="G50" s="13">
        <v>0</v>
      </c>
      <c r="H50" s="13"/>
      <c r="I50" s="13">
        <v>275506</v>
      </c>
      <c r="J50" s="13"/>
      <c r="K50" s="13">
        <v>209117</v>
      </c>
      <c r="L50" s="13"/>
      <c r="M50" s="13">
        <v>1152551</v>
      </c>
      <c r="N50" s="13"/>
      <c r="O50" s="13">
        <v>202151</v>
      </c>
      <c r="P50" s="13"/>
      <c r="Q50" s="13">
        <v>0</v>
      </c>
      <c r="R50" s="13"/>
      <c r="S50" s="13">
        <v>0</v>
      </c>
      <c r="T50" s="21"/>
      <c r="U50" s="13">
        <v>0</v>
      </c>
      <c r="V50" s="13"/>
      <c r="W50" s="13">
        <v>0</v>
      </c>
      <c r="X50" s="13"/>
      <c r="Y50" s="13">
        <v>0</v>
      </c>
      <c r="Z50" s="13"/>
      <c r="AA50" s="13">
        <v>0</v>
      </c>
      <c r="AB50" s="13"/>
      <c r="AC50" s="21">
        <f t="shared" si="1"/>
        <v>49131015</v>
      </c>
      <c r="AD50" s="22"/>
      <c r="AE50" s="13">
        <v>6155689</v>
      </c>
      <c r="AG50" s="13">
        <v>25011241</v>
      </c>
      <c r="AI50" s="16">
        <v>0</v>
      </c>
      <c r="AK50" s="16">
        <f>+GenRev!Q51-GenExp!AC50-AE50+GenRev!S51+AG50+AI50-'Gen Fd BS'!O51</f>
        <v>0</v>
      </c>
    </row>
    <row r="51" spans="1:37" s="16" customFormat="1" ht="12.75" hidden="1">
      <c r="A51" s="4" t="s">
        <v>170</v>
      </c>
      <c r="B51" s="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21"/>
      <c r="U51" s="13"/>
      <c r="V51" s="13"/>
      <c r="W51" s="13"/>
      <c r="X51" s="13"/>
      <c r="Y51" s="13"/>
      <c r="Z51" s="13"/>
      <c r="AA51" s="13"/>
      <c r="AB51" s="13"/>
      <c r="AC51" s="21">
        <f t="shared" si="1"/>
        <v>0</v>
      </c>
      <c r="AD51" s="22"/>
      <c r="AE51" s="13"/>
      <c r="AG51" s="13"/>
      <c r="AK51" s="16">
        <f>+GenRev!Q52-GenExp!AC51-AE51+GenRev!S52+AG51+AI51-'Gen Fd BS'!O52</f>
        <v>0</v>
      </c>
    </row>
    <row r="52" spans="1:37" s="16" customFormat="1" ht="12.75">
      <c r="A52" s="4" t="s">
        <v>49</v>
      </c>
      <c r="B52" s="4"/>
      <c r="C52" s="13">
        <v>16566428</v>
      </c>
      <c r="D52" s="13"/>
      <c r="E52" s="13">
        <v>0</v>
      </c>
      <c r="F52" s="13"/>
      <c r="G52" s="13">
        <v>17066916</v>
      </c>
      <c r="H52" s="13"/>
      <c r="I52" s="13">
        <v>73084</v>
      </c>
      <c r="J52" s="13"/>
      <c r="K52" s="13">
        <v>247993</v>
      </c>
      <c r="L52" s="13"/>
      <c r="M52" s="13">
        <v>1469672</v>
      </c>
      <c r="N52" s="13"/>
      <c r="O52" s="13">
        <v>592742</v>
      </c>
      <c r="P52" s="13"/>
      <c r="Q52" s="13">
        <v>0</v>
      </c>
      <c r="R52" s="13"/>
      <c r="S52" s="13">
        <v>0</v>
      </c>
      <c r="T52" s="21"/>
      <c r="U52" s="13">
        <v>220347</v>
      </c>
      <c r="V52" s="13"/>
      <c r="W52" s="13">
        <v>509140</v>
      </c>
      <c r="X52" s="13"/>
      <c r="Y52" s="13">
        <v>0</v>
      </c>
      <c r="Z52" s="13"/>
      <c r="AA52" s="13">
        <v>0</v>
      </c>
      <c r="AB52" s="13"/>
      <c r="AC52" s="21">
        <f t="shared" si="1"/>
        <v>36746322</v>
      </c>
      <c r="AD52" s="22"/>
      <c r="AE52" s="13">
        <f>2925930</f>
        <v>2925930</v>
      </c>
      <c r="AG52" s="13">
        <v>7696061</v>
      </c>
      <c r="AI52" s="16">
        <v>6382</v>
      </c>
      <c r="AK52" s="16">
        <f>+GenRev!Q53-GenExp!AC52-AE52+GenRev!S53+AG52+AI52-'Gen Fd BS'!O53</f>
        <v>0</v>
      </c>
    </row>
    <row r="53" spans="1:37" s="16" customFormat="1" ht="12.75">
      <c r="A53" s="4" t="s">
        <v>50</v>
      </c>
      <c r="B53" s="4"/>
      <c r="C53" s="13">
        <v>3886658</v>
      </c>
      <c r="D53" s="13"/>
      <c r="E53" s="13">
        <v>1854847</v>
      </c>
      <c r="F53" s="13"/>
      <c r="G53" s="13">
        <v>5656653</v>
      </c>
      <c r="H53" s="13"/>
      <c r="I53" s="13">
        <v>130718</v>
      </c>
      <c r="J53" s="13"/>
      <c r="K53" s="13">
        <v>153667</v>
      </c>
      <c r="L53" s="13"/>
      <c r="M53" s="13">
        <v>301989</v>
      </c>
      <c r="N53" s="13"/>
      <c r="O53" s="13">
        <v>0</v>
      </c>
      <c r="P53" s="13"/>
      <c r="Q53" s="13">
        <v>329900</v>
      </c>
      <c r="R53" s="13"/>
      <c r="S53" s="13">
        <v>0</v>
      </c>
      <c r="T53" s="21"/>
      <c r="U53" s="13">
        <v>0</v>
      </c>
      <c r="V53" s="13"/>
      <c r="W53" s="13">
        <v>0</v>
      </c>
      <c r="X53" s="13"/>
      <c r="Y53" s="13">
        <v>0</v>
      </c>
      <c r="Z53" s="13"/>
      <c r="AA53" s="13">
        <v>0</v>
      </c>
      <c r="AB53" s="13"/>
      <c r="AC53" s="21">
        <f t="shared" si="1"/>
        <v>12314432</v>
      </c>
      <c r="AD53" s="22"/>
      <c r="AE53" s="13">
        <v>3378460</v>
      </c>
      <c r="AG53" s="13">
        <v>2822139</v>
      </c>
      <c r="AI53" s="16">
        <v>3205</v>
      </c>
      <c r="AK53" s="16">
        <f>+GenRev!Q54-GenExp!AC53-AE53+GenRev!S54+AG53+AI53-'Gen Fd BS'!O54</f>
        <v>0</v>
      </c>
    </row>
    <row r="54" spans="1:37" s="16" customFormat="1" ht="12.75">
      <c r="A54" s="4" t="s">
        <v>260</v>
      </c>
      <c r="B54" s="4"/>
      <c r="C54" s="13">
        <v>28350237</v>
      </c>
      <c r="D54" s="13"/>
      <c r="E54" s="13">
        <v>15353626</v>
      </c>
      <c r="F54" s="13"/>
      <c r="G54" s="13">
        <v>6979943</v>
      </c>
      <c r="H54" s="13"/>
      <c r="I54" s="13">
        <v>284960</v>
      </c>
      <c r="J54" s="13"/>
      <c r="K54" s="13">
        <v>3534</v>
      </c>
      <c r="L54" s="13"/>
      <c r="M54" s="13">
        <v>2550410</v>
      </c>
      <c r="N54" s="13"/>
      <c r="O54" s="13">
        <v>0</v>
      </c>
      <c r="P54" s="13"/>
      <c r="Q54" s="13">
        <v>0</v>
      </c>
      <c r="R54" s="13"/>
      <c r="S54" s="13">
        <v>0</v>
      </c>
      <c r="T54" s="21"/>
      <c r="U54" s="13">
        <v>3053799</v>
      </c>
      <c r="V54" s="13"/>
      <c r="W54" s="13">
        <v>545241</v>
      </c>
      <c r="X54" s="13"/>
      <c r="Y54" s="13">
        <v>0</v>
      </c>
      <c r="Z54" s="13"/>
      <c r="AA54" s="13">
        <v>0</v>
      </c>
      <c r="AB54" s="13"/>
      <c r="AC54" s="21">
        <f t="shared" si="1"/>
        <v>57121750</v>
      </c>
      <c r="AD54" s="22"/>
      <c r="AE54" s="13">
        <v>3712383</v>
      </c>
      <c r="AG54" s="13">
        <v>37680396</v>
      </c>
      <c r="AI54" s="16">
        <v>-12326</v>
      </c>
      <c r="AK54" s="16">
        <f>+GenRev!Q55-GenExp!AC54-AE54+GenRev!S55+AG54+AI54-'Gen Fd BS'!O55</f>
        <v>0</v>
      </c>
    </row>
    <row r="55" spans="1:37" s="16" customFormat="1" ht="12.75">
      <c r="A55" s="4" t="s">
        <v>186</v>
      </c>
      <c r="B55" s="4"/>
      <c r="C55" s="13">
        <v>26704000</v>
      </c>
      <c r="D55" s="13"/>
      <c r="E55" s="13">
        <v>44408000</v>
      </c>
      <c r="F55" s="13"/>
      <c r="G55" s="13">
        <v>40805000</v>
      </c>
      <c r="H55" s="13"/>
      <c r="I55" s="13">
        <v>238000</v>
      </c>
      <c r="J55" s="13"/>
      <c r="K55" s="13">
        <v>684000</v>
      </c>
      <c r="L55" s="13"/>
      <c r="M55" s="13">
        <v>1308000</v>
      </c>
      <c r="N55" s="13"/>
      <c r="O55" s="13">
        <v>0</v>
      </c>
      <c r="P55" s="13"/>
      <c r="Q55" s="13">
        <v>909000</v>
      </c>
      <c r="R55" s="13"/>
      <c r="S55" s="13">
        <v>852000</v>
      </c>
      <c r="T55" s="21"/>
      <c r="U55" s="13">
        <v>0</v>
      </c>
      <c r="V55" s="13"/>
      <c r="W55" s="13">
        <v>0</v>
      </c>
      <c r="X55" s="13"/>
      <c r="Y55" s="13">
        <v>0</v>
      </c>
      <c r="Z55" s="13"/>
      <c r="AA55" s="13">
        <v>0</v>
      </c>
      <c r="AB55" s="13"/>
      <c r="AC55" s="21">
        <f t="shared" si="1"/>
        <v>115908000</v>
      </c>
      <c r="AD55" s="22"/>
      <c r="AE55" s="13">
        <v>22811000</v>
      </c>
      <c r="AG55" s="13">
        <v>38452000</v>
      </c>
      <c r="AI55" s="16">
        <v>0</v>
      </c>
      <c r="AK55" s="16">
        <f>+GenRev!Q56-GenExp!AC55-AE55+GenRev!S56+AG55+AI55-'Gen Fd BS'!O56</f>
        <v>0</v>
      </c>
    </row>
    <row r="56" spans="1:37" s="16" customFormat="1" ht="12.75" hidden="1">
      <c r="A56" s="4" t="s">
        <v>52</v>
      </c>
      <c r="B56" s="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21"/>
      <c r="U56" s="13"/>
      <c r="V56" s="13"/>
      <c r="W56" s="13"/>
      <c r="X56" s="13"/>
      <c r="Y56" s="13"/>
      <c r="Z56" s="13"/>
      <c r="AA56" s="13"/>
      <c r="AB56" s="13"/>
      <c r="AC56" s="21">
        <f t="shared" si="1"/>
        <v>0</v>
      </c>
      <c r="AD56" s="22"/>
      <c r="AE56" s="13"/>
      <c r="AG56" s="13"/>
      <c r="AK56" s="16">
        <f>+GenRev!Q57-GenExp!AC56-AE56+GenRev!S57+AG56+AI56-'Gen Fd BS'!O57</f>
        <v>0</v>
      </c>
    </row>
    <row r="57" spans="1:37" s="16" customFormat="1" ht="12.75">
      <c r="A57" s="4" t="s">
        <v>53</v>
      </c>
      <c r="B57" s="4"/>
      <c r="C57" s="13">
        <v>14322378</v>
      </c>
      <c r="D57" s="13"/>
      <c r="E57" s="13">
        <v>15765309</v>
      </c>
      <c r="F57" s="13"/>
      <c r="G57" s="13">
        <v>19496382</v>
      </c>
      <c r="H57" s="13"/>
      <c r="I57" s="13">
        <v>0</v>
      </c>
      <c r="J57" s="13"/>
      <c r="K57" s="13">
        <v>0</v>
      </c>
      <c r="L57" s="13"/>
      <c r="M57" s="13">
        <v>1146800</v>
      </c>
      <c r="N57" s="13"/>
      <c r="O57" s="13">
        <v>0</v>
      </c>
      <c r="P57" s="13"/>
      <c r="Q57" s="13">
        <v>0</v>
      </c>
      <c r="R57" s="13"/>
      <c r="S57" s="13">
        <v>0</v>
      </c>
      <c r="T57" s="21"/>
      <c r="U57" s="13">
        <v>0</v>
      </c>
      <c r="V57" s="13"/>
      <c r="W57" s="13">
        <v>0</v>
      </c>
      <c r="X57" s="13"/>
      <c r="Y57" s="13">
        <v>0</v>
      </c>
      <c r="Z57" s="13"/>
      <c r="AA57" s="13">
        <v>0</v>
      </c>
      <c r="AB57" s="13"/>
      <c r="AC57" s="21">
        <f t="shared" si="1"/>
        <v>50730869</v>
      </c>
      <c r="AD57" s="22"/>
      <c r="AE57" s="13">
        <v>2877195</v>
      </c>
      <c r="AG57" s="13">
        <v>5397173</v>
      </c>
      <c r="AI57" s="16">
        <v>0</v>
      </c>
      <c r="AK57" s="16">
        <f>+GenRev!Q58-GenExp!AC57-AE57+GenRev!S58+AG57+AI57-'Gen Fd BS'!O58</f>
        <v>0</v>
      </c>
    </row>
    <row r="58" spans="1:37" s="16" customFormat="1" ht="12.75">
      <c r="A58" s="4" t="s">
        <v>54</v>
      </c>
      <c r="B58" s="4"/>
      <c r="C58" s="13">
        <v>4972796</v>
      </c>
      <c r="D58" s="13"/>
      <c r="E58" s="13">
        <v>1732429</v>
      </c>
      <c r="F58" s="13"/>
      <c r="G58" s="13">
        <v>6952242</v>
      </c>
      <c r="H58" s="13"/>
      <c r="I58" s="13">
        <v>11585</v>
      </c>
      <c r="J58" s="13"/>
      <c r="K58" s="13">
        <v>219526</v>
      </c>
      <c r="L58" s="13"/>
      <c r="M58" s="13">
        <v>325056</v>
      </c>
      <c r="N58" s="13"/>
      <c r="O58" s="13">
        <v>0</v>
      </c>
      <c r="P58" s="13"/>
      <c r="Q58" s="13">
        <v>73000</v>
      </c>
      <c r="R58" s="13"/>
      <c r="S58" s="13">
        <v>0</v>
      </c>
      <c r="T58" s="21"/>
      <c r="U58" s="13">
        <v>0</v>
      </c>
      <c r="V58" s="13"/>
      <c r="W58" s="13">
        <v>286661</v>
      </c>
      <c r="X58" s="13"/>
      <c r="Y58" s="13">
        <v>0</v>
      </c>
      <c r="Z58" s="13"/>
      <c r="AA58" s="13">
        <v>0</v>
      </c>
      <c r="AB58" s="13"/>
      <c r="AC58" s="21">
        <f t="shared" si="1"/>
        <v>14573295</v>
      </c>
      <c r="AD58" s="22"/>
      <c r="AE58" s="13">
        <v>1447057</v>
      </c>
      <c r="AG58" s="13">
        <v>6535168</v>
      </c>
      <c r="AI58" s="16">
        <v>0</v>
      </c>
      <c r="AK58" s="16">
        <f>+GenRev!Q59-GenExp!AC58-AE58+GenRev!S59+AG58+AI58-'Gen Fd BS'!O59</f>
        <v>0</v>
      </c>
    </row>
    <row r="59" spans="1:37" s="16" customFormat="1" ht="12.75">
      <c r="A59" s="4" t="s">
        <v>55</v>
      </c>
      <c r="B59" s="4"/>
      <c r="C59" s="13">
        <v>10586775</v>
      </c>
      <c r="D59" s="13"/>
      <c r="E59" s="13">
        <v>6691686</v>
      </c>
      <c r="F59" s="13"/>
      <c r="G59" s="13">
        <v>16636693</v>
      </c>
      <c r="H59" s="13"/>
      <c r="I59" s="13">
        <v>224906</v>
      </c>
      <c r="J59" s="13"/>
      <c r="K59" s="13">
        <v>4825</v>
      </c>
      <c r="L59" s="13"/>
      <c r="M59" s="13">
        <v>2030048</v>
      </c>
      <c r="N59" s="13"/>
      <c r="O59" s="13">
        <v>90000</v>
      </c>
      <c r="P59" s="13"/>
      <c r="Q59" s="13">
        <v>0</v>
      </c>
      <c r="R59" s="13"/>
      <c r="S59" s="13">
        <v>0</v>
      </c>
      <c r="T59" s="21"/>
      <c r="U59" s="13">
        <v>0</v>
      </c>
      <c r="V59" s="13"/>
      <c r="W59" s="13">
        <v>418685</v>
      </c>
      <c r="X59" s="13"/>
      <c r="Y59" s="13">
        <v>0</v>
      </c>
      <c r="Z59" s="13"/>
      <c r="AA59" s="13">
        <v>0</v>
      </c>
      <c r="AB59" s="13"/>
      <c r="AC59" s="21">
        <f t="shared" si="1"/>
        <v>36683618</v>
      </c>
      <c r="AD59" s="22"/>
      <c r="AE59" s="13">
        <v>2453242</v>
      </c>
      <c r="AG59" s="13">
        <v>12565656</v>
      </c>
      <c r="AI59" s="16">
        <v>0</v>
      </c>
      <c r="AK59" s="16">
        <f>+GenRev!Q60-GenExp!AC59-AE59+GenRev!S60+AG59+AI59-'Gen Fd BS'!O60</f>
        <v>0</v>
      </c>
    </row>
    <row r="60" spans="1:37" s="16" customFormat="1" ht="12.75" hidden="1">
      <c r="A60" s="4" t="s">
        <v>171</v>
      </c>
      <c r="B60" s="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21"/>
      <c r="U60" s="13"/>
      <c r="V60" s="13"/>
      <c r="W60" s="13"/>
      <c r="X60" s="13"/>
      <c r="Y60" s="13"/>
      <c r="Z60" s="13"/>
      <c r="AA60" s="13"/>
      <c r="AB60" s="13"/>
      <c r="AC60" s="21">
        <f t="shared" si="1"/>
        <v>0</v>
      </c>
      <c r="AD60" s="22"/>
      <c r="AE60" s="13"/>
      <c r="AG60" s="13"/>
      <c r="AI60" s="16">
        <v>0</v>
      </c>
      <c r="AK60" s="16">
        <f>+GenRev!Q61-GenExp!AC60-AE60+GenRev!S61+AG60+AI60-'Gen Fd BS'!O61</f>
        <v>0</v>
      </c>
    </row>
    <row r="61" spans="1:37" s="16" customFormat="1" ht="12.75" hidden="1">
      <c r="A61" s="4" t="s">
        <v>56</v>
      </c>
      <c r="B61" s="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21"/>
      <c r="U61" s="13"/>
      <c r="V61" s="13"/>
      <c r="W61" s="13"/>
      <c r="X61" s="13"/>
      <c r="Y61" s="13"/>
      <c r="Z61" s="13"/>
      <c r="AA61" s="13"/>
      <c r="AB61" s="13"/>
      <c r="AC61" s="21">
        <f t="shared" si="1"/>
        <v>0</v>
      </c>
      <c r="AD61" s="22"/>
      <c r="AE61" s="13"/>
      <c r="AG61" s="13"/>
      <c r="AK61" s="16">
        <f>+GenRev!Q62-GenExp!AC61-AE61+GenRev!S62+AG61+AI61-'Gen Fd BS'!O62</f>
        <v>0</v>
      </c>
    </row>
    <row r="62" spans="1:37" s="16" customFormat="1" ht="12.75">
      <c r="A62" s="4" t="s">
        <v>57</v>
      </c>
      <c r="B62" s="4"/>
      <c r="C62" s="13">
        <v>11033008</v>
      </c>
      <c r="D62" s="13"/>
      <c r="E62" s="13">
        <v>0</v>
      </c>
      <c r="F62" s="13"/>
      <c r="G62" s="13">
        <v>10506885</v>
      </c>
      <c r="H62" s="13"/>
      <c r="I62" s="13">
        <v>295816</v>
      </c>
      <c r="J62" s="13"/>
      <c r="K62" s="13">
        <v>172786</v>
      </c>
      <c r="L62" s="13"/>
      <c r="M62" s="13">
        <v>1976731</v>
      </c>
      <c r="N62" s="13"/>
      <c r="O62" s="13">
        <v>0</v>
      </c>
      <c r="P62" s="13"/>
      <c r="Q62" s="13">
        <v>482241</v>
      </c>
      <c r="R62" s="13"/>
      <c r="S62" s="13">
        <v>0</v>
      </c>
      <c r="T62" s="21"/>
      <c r="U62" s="13">
        <v>0</v>
      </c>
      <c r="V62" s="13"/>
      <c r="W62" s="13">
        <v>0</v>
      </c>
      <c r="X62" s="13"/>
      <c r="Y62" s="13">
        <v>2437</v>
      </c>
      <c r="Z62" s="13"/>
      <c r="AA62" s="13">
        <v>935</v>
      </c>
      <c r="AB62" s="13"/>
      <c r="AC62" s="21">
        <f t="shared" si="1"/>
        <v>24470839</v>
      </c>
      <c r="AD62" s="22"/>
      <c r="AE62" s="13">
        <v>798071</v>
      </c>
      <c r="AG62" s="13">
        <v>15991030</v>
      </c>
      <c r="AI62" s="16">
        <v>0</v>
      </c>
      <c r="AK62" s="16">
        <f>+GenRev!Q63-GenExp!AC62-AE62+GenRev!S63+AG62+AI62-'Gen Fd BS'!O63</f>
        <v>0</v>
      </c>
    </row>
    <row r="63" spans="1:37" s="16" customFormat="1" ht="12.75">
      <c r="A63" s="4" t="s">
        <v>58</v>
      </c>
      <c r="B63" s="4"/>
      <c r="C63" s="13">
        <v>1447612</v>
      </c>
      <c r="D63" s="13"/>
      <c r="E63" s="13">
        <v>579493</v>
      </c>
      <c r="F63" s="13"/>
      <c r="G63" s="13">
        <v>1188726</v>
      </c>
      <c r="H63" s="13"/>
      <c r="I63" s="13">
        <v>13830</v>
      </c>
      <c r="J63" s="13"/>
      <c r="K63" s="13">
        <v>275500</v>
      </c>
      <c r="L63" s="13"/>
      <c r="M63" s="13">
        <v>191892</v>
      </c>
      <c r="N63" s="13"/>
      <c r="O63" s="13">
        <v>7731</v>
      </c>
      <c r="P63" s="13"/>
      <c r="Q63" s="13">
        <v>0</v>
      </c>
      <c r="R63" s="13"/>
      <c r="S63" s="13">
        <v>0</v>
      </c>
      <c r="T63" s="21"/>
      <c r="U63" s="13">
        <v>0</v>
      </c>
      <c r="V63" s="13"/>
      <c r="W63" s="13">
        <v>0</v>
      </c>
      <c r="X63" s="13"/>
      <c r="Y63" s="13">
        <v>0</v>
      </c>
      <c r="Z63" s="13"/>
      <c r="AA63" s="13">
        <v>2075</v>
      </c>
      <c r="AB63" s="13"/>
      <c r="AC63" s="21">
        <f t="shared" si="1"/>
        <v>3706859</v>
      </c>
      <c r="AD63" s="22"/>
      <c r="AE63" s="13">
        <v>179567</v>
      </c>
      <c r="AG63" s="13">
        <v>444833</v>
      </c>
      <c r="AI63" s="16">
        <v>0</v>
      </c>
      <c r="AK63" s="16">
        <f>+GenRev!Q64-GenExp!AC63-AE63+GenRev!S64+AG63+AI63-'Gen Fd BS'!O64</f>
        <v>0</v>
      </c>
    </row>
    <row r="64" spans="1:37" s="16" customFormat="1" ht="12.75">
      <c r="A64" s="4" t="s">
        <v>59</v>
      </c>
      <c r="B64" s="4"/>
      <c r="C64" s="13">
        <v>24488567</v>
      </c>
      <c r="D64" s="13"/>
      <c r="E64" s="13">
        <v>89524921</v>
      </c>
      <c r="F64" s="13"/>
      <c r="G64" s="13">
        <v>0</v>
      </c>
      <c r="H64" s="13"/>
      <c r="I64" s="13">
        <v>482461</v>
      </c>
      <c r="J64" s="13"/>
      <c r="K64" s="13">
        <v>0</v>
      </c>
      <c r="L64" s="13"/>
      <c r="M64" s="13">
        <v>2752732</v>
      </c>
      <c r="N64" s="13"/>
      <c r="O64" s="13">
        <v>2943343</v>
      </c>
      <c r="P64" s="13"/>
      <c r="Q64" s="13">
        <v>0</v>
      </c>
      <c r="R64" s="13"/>
      <c r="S64" s="13">
        <v>0</v>
      </c>
      <c r="T64" s="21"/>
      <c r="U64" s="13">
        <v>0</v>
      </c>
      <c r="V64" s="13"/>
      <c r="W64" s="13">
        <f>103300+148410+1591800+237188</f>
        <v>2080698</v>
      </c>
      <c r="X64" s="13"/>
      <c r="Y64" s="13">
        <v>9021</v>
      </c>
      <c r="Z64" s="13"/>
      <c r="AA64" s="13">
        <v>659</v>
      </c>
      <c r="AB64" s="13"/>
      <c r="AC64" s="21">
        <f t="shared" si="1"/>
        <v>122282402</v>
      </c>
      <c r="AD64" s="22"/>
      <c r="AE64" s="13">
        <v>37310125</v>
      </c>
      <c r="AG64" s="13">
        <v>55056104</v>
      </c>
      <c r="AI64" s="16">
        <v>0</v>
      </c>
      <c r="AK64" s="16">
        <f>+GenRev!Q65-GenExp!AC64-AE64+GenRev!S65+AG64+AI64-'Gen Fd BS'!O65</f>
        <v>0</v>
      </c>
    </row>
    <row r="65" spans="1:37" s="16" customFormat="1" ht="12.75" hidden="1">
      <c r="A65" s="4" t="s">
        <v>60</v>
      </c>
      <c r="B65" s="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21"/>
      <c r="U65" s="13"/>
      <c r="V65" s="13"/>
      <c r="W65" s="13"/>
      <c r="X65" s="13"/>
      <c r="Y65" s="13"/>
      <c r="Z65" s="13"/>
      <c r="AA65" s="13"/>
      <c r="AB65" s="13"/>
      <c r="AC65" s="21">
        <f t="shared" si="1"/>
        <v>0</v>
      </c>
      <c r="AD65" s="22"/>
      <c r="AE65" s="13"/>
      <c r="AG65" s="13"/>
      <c r="AK65" s="16">
        <f>+GenRev!Q66-GenExp!AC65-AE65+GenRev!S66+AG65+AI65-'Gen Fd BS'!O66</f>
        <v>0</v>
      </c>
    </row>
    <row r="66" spans="1:37" s="16" customFormat="1" ht="12.75">
      <c r="A66" s="4" t="s">
        <v>97</v>
      </c>
      <c r="B66" s="4"/>
      <c r="C66" s="13">
        <v>3053983</v>
      </c>
      <c r="D66" s="13"/>
      <c r="E66" s="13">
        <v>935104</v>
      </c>
      <c r="F66" s="13"/>
      <c r="G66" s="13">
        <v>3674157</v>
      </c>
      <c r="H66" s="13"/>
      <c r="I66" s="13">
        <v>0</v>
      </c>
      <c r="J66" s="13"/>
      <c r="K66" s="13">
        <v>78144</v>
      </c>
      <c r="L66" s="13"/>
      <c r="M66" s="13">
        <v>402169</v>
      </c>
      <c r="N66" s="13"/>
      <c r="O66" s="13">
        <v>46232</v>
      </c>
      <c r="P66" s="13"/>
      <c r="Q66" s="13">
        <v>0</v>
      </c>
      <c r="R66" s="13"/>
      <c r="S66" s="13">
        <v>79716</v>
      </c>
      <c r="T66" s="21"/>
      <c r="U66" s="13">
        <v>0</v>
      </c>
      <c r="V66" s="13"/>
      <c r="W66" s="13">
        <v>408306</v>
      </c>
      <c r="X66" s="13"/>
      <c r="Y66" s="13">
        <v>80284</v>
      </c>
      <c r="Z66" s="13"/>
      <c r="AA66" s="13">
        <v>21222</v>
      </c>
      <c r="AB66" s="13"/>
      <c r="AC66" s="21">
        <f>SUM(C66:AB66)</f>
        <v>8779317</v>
      </c>
      <c r="AD66" s="22"/>
      <c r="AE66" s="13">
        <v>57300</v>
      </c>
      <c r="AG66" s="13">
        <v>1627573</v>
      </c>
      <c r="AI66" s="16">
        <v>0</v>
      </c>
      <c r="AK66" s="16">
        <f>+GenRev!Q67-GenExp!AC66-AE66+GenRev!S67+AG66+AI66-'Gen Fd BS'!O67</f>
        <v>0</v>
      </c>
    </row>
    <row r="67" spans="1:37" s="16" customFormat="1" ht="12.75">
      <c r="A67" s="4" t="s">
        <v>61</v>
      </c>
      <c r="B67" s="4"/>
      <c r="C67" s="13">
        <v>7887808</v>
      </c>
      <c r="D67" s="13"/>
      <c r="E67" s="13">
        <v>5898135</v>
      </c>
      <c r="F67" s="13"/>
      <c r="G67" s="13">
        <v>8293514</v>
      </c>
      <c r="H67" s="13"/>
      <c r="I67" s="13">
        <v>207302</v>
      </c>
      <c r="J67" s="13"/>
      <c r="K67" s="13">
        <v>474131</v>
      </c>
      <c r="L67" s="13"/>
      <c r="M67" s="13">
        <v>446091</v>
      </c>
      <c r="N67" s="13"/>
      <c r="O67" s="13">
        <v>0</v>
      </c>
      <c r="P67" s="13"/>
      <c r="Q67" s="13">
        <v>0</v>
      </c>
      <c r="R67" s="13"/>
      <c r="S67" s="13">
        <v>0</v>
      </c>
      <c r="T67" s="21"/>
      <c r="U67" s="13">
        <v>0</v>
      </c>
      <c r="V67" s="13"/>
      <c r="W67" s="13">
        <v>948686</v>
      </c>
      <c r="X67" s="13"/>
      <c r="Y67" s="13">
        <v>1828</v>
      </c>
      <c r="Z67" s="13"/>
      <c r="AA67" s="13">
        <v>512</v>
      </c>
      <c r="AB67" s="13"/>
      <c r="AC67" s="21">
        <f t="shared" si="1"/>
        <v>24158007</v>
      </c>
      <c r="AD67" s="22"/>
      <c r="AE67" s="13">
        <v>4168899</v>
      </c>
      <c r="AG67" s="13">
        <v>10957429</v>
      </c>
      <c r="AI67" s="16">
        <v>0</v>
      </c>
      <c r="AK67" s="16">
        <f>+GenRev!Q68-GenExp!AC67-AE67+GenRev!S68+AG67+AI67-'Gen Fd BS'!O68</f>
        <v>0</v>
      </c>
    </row>
    <row r="68" spans="1:37" s="16" customFormat="1" ht="12.75">
      <c r="A68" s="4" t="s">
        <v>62</v>
      </c>
      <c r="B68" s="4"/>
      <c r="C68" s="13">
        <v>1305906</v>
      </c>
      <c r="D68" s="13"/>
      <c r="E68" s="13">
        <v>429715</v>
      </c>
      <c r="F68" s="13"/>
      <c r="G68" s="13">
        <v>799014</v>
      </c>
      <c r="H68" s="13"/>
      <c r="I68" s="13">
        <v>0</v>
      </c>
      <c r="J68" s="13"/>
      <c r="K68" s="13">
        <v>12609</v>
      </c>
      <c r="L68" s="13"/>
      <c r="M68" s="13">
        <v>107523</v>
      </c>
      <c r="N68" s="13"/>
      <c r="O68" s="13">
        <v>0</v>
      </c>
      <c r="P68" s="13"/>
      <c r="Q68" s="13">
        <v>0</v>
      </c>
      <c r="R68" s="13"/>
      <c r="S68" s="13">
        <v>0</v>
      </c>
      <c r="T68" s="21"/>
      <c r="U68" s="13">
        <v>0</v>
      </c>
      <c r="V68" s="13"/>
      <c r="W68" s="13">
        <v>0</v>
      </c>
      <c r="X68" s="13"/>
      <c r="Y68" s="13">
        <v>5171</v>
      </c>
      <c r="Z68" s="13"/>
      <c r="AA68" s="13">
        <v>504</v>
      </c>
      <c r="AB68" s="13"/>
      <c r="AC68" s="21">
        <f t="shared" si="1"/>
        <v>2660442</v>
      </c>
      <c r="AD68" s="22"/>
      <c r="AE68" s="13">
        <v>56801</v>
      </c>
      <c r="AG68" s="13">
        <v>585431</v>
      </c>
      <c r="AI68" s="16">
        <v>0</v>
      </c>
      <c r="AK68" s="16">
        <f>+GenRev!Q69-GenExp!AC68-AE68+GenRev!S69+AG68+AI68-'Gen Fd BS'!O69</f>
        <v>0</v>
      </c>
    </row>
    <row r="69" spans="1:37" s="16" customFormat="1" ht="12.75">
      <c r="A69" s="4" t="s">
        <v>63</v>
      </c>
      <c r="B69" s="4"/>
      <c r="C69" s="13">
        <v>3934826</v>
      </c>
      <c r="D69" s="13"/>
      <c r="E69" s="13">
        <v>2312808</v>
      </c>
      <c r="F69" s="13"/>
      <c r="G69" s="13">
        <v>5100608</v>
      </c>
      <c r="H69" s="13"/>
      <c r="I69" s="13">
        <v>511805</v>
      </c>
      <c r="J69" s="13"/>
      <c r="K69" s="13">
        <v>29285</v>
      </c>
      <c r="L69" s="13"/>
      <c r="M69" s="13">
        <v>1188722</v>
      </c>
      <c r="N69" s="13"/>
      <c r="O69" s="13">
        <v>0</v>
      </c>
      <c r="P69" s="13"/>
      <c r="Q69" s="13">
        <v>0</v>
      </c>
      <c r="R69" s="13"/>
      <c r="S69" s="13">
        <v>367254</v>
      </c>
      <c r="T69" s="21"/>
      <c r="U69" s="13">
        <v>12240</v>
      </c>
      <c r="V69" s="13"/>
      <c r="W69" s="13">
        <v>0</v>
      </c>
      <c r="X69" s="13"/>
      <c r="Y69" s="13">
        <v>6034</v>
      </c>
      <c r="Z69" s="13"/>
      <c r="AA69" s="13">
        <v>2261</v>
      </c>
      <c r="AB69" s="13"/>
      <c r="AC69" s="21">
        <f t="shared" si="1"/>
        <v>13465843</v>
      </c>
      <c r="AD69" s="22"/>
      <c r="AE69" s="13">
        <v>1170494</v>
      </c>
      <c r="AG69" s="13">
        <v>3406669</v>
      </c>
      <c r="AI69" s="16">
        <v>0</v>
      </c>
      <c r="AK69" s="16">
        <f>+GenRev!Q70-GenExp!AC69-AE69+GenRev!S70+AG69+AI69-'Gen Fd BS'!O70</f>
        <v>0</v>
      </c>
    </row>
    <row r="70" spans="1:37" s="16" customFormat="1" ht="12.75" hidden="1">
      <c r="A70" s="4" t="s">
        <v>132</v>
      </c>
      <c r="B70" s="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21"/>
      <c r="U70" s="13"/>
      <c r="V70" s="13"/>
      <c r="W70" s="13"/>
      <c r="X70" s="13"/>
      <c r="Y70" s="13"/>
      <c r="Z70" s="13"/>
      <c r="AA70" s="13"/>
      <c r="AB70" s="13"/>
      <c r="AC70" s="21">
        <f t="shared" si="1"/>
        <v>0</v>
      </c>
      <c r="AD70" s="22"/>
      <c r="AE70" s="13"/>
      <c r="AG70" s="13"/>
      <c r="AK70" s="16">
        <f>+GenRev!Q72-GenExp!AC70-AE70+GenRev!S72+AG70+AI70-'Gen Fd BS'!O71</f>
        <v>0</v>
      </c>
    </row>
    <row r="71" spans="1:37" s="16" customFormat="1" ht="12.75" hidden="1">
      <c r="A71" s="4" t="s">
        <v>64</v>
      </c>
      <c r="B71" s="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21"/>
      <c r="U71" s="13"/>
      <c r="V71" s="13"/>
      <c r="W71" s="13"/>
      <c r="X71" s="13"/>
      <c r="Y71" s="13"/>
      <c r="Z71" s="13"/>
      <c r="AA71" s="13"/>
      <c r="AB71" s="13"/>
      <c r="AC71" s="21">
        <f t="shared" si="1"/>
        <v>0</v>
      </c>
      <c r="AD71" s="22"/>
      <c r="AE71" s="13"/>
      <c r="AG71" s="13"/>
      <c r="AK71" s="16">
        <f>+GenRev!Q73-GenExp!AC71-AE71+GenRev!S73+AG71+AI71-'Gen Fd BS'!O72</f>
        <v>0</v>
      </c>
    </row>
    <row r="72" spans="1:37" s="16" customFormat="1" ht="12.75">
      <c r="A72" s="4" t="s">
        <v>65</v>
      </c>
      <c r="B72" s="4"/>
      <c r="C72" s="13">
        <v>4167259</v>
      </c>
      <c r="D72" s="13"/>
      <c r="E72" s="13">
        <v>1400531</v>
      </c>
      <c r="F72" s="13"/>
      <c r="G72" s="13">
        <v>5147663</v>
      </c>
      <c r="H72" s="13"/>
      <c r="I72" s="13">
        <v>90024</v>
      </c>
      <c r="J72" s="13"/>
      <c r="K72" s="13">
        <v>95360</v>
      </c>
      <c r="L72" s="13"/>
      <c r="M72" s="13">
        <v>513011</v>
      </c>
      <c r="N72" s="13"/>
      <c r="O72" s="13">
        <v>0</v>
      </c>
      <c r="P72" s="13"/>
      <c r="Q72" s="13">
        <v>372980</v>
      </c>
      <c r="R72" s="13"/>
      <c r="S72" s="13">
        <v>33540</v>
      </c>
      <c r="T72" s="21"/>
      <c r="U72" s="13">
        <v>0</v>
      </c>
      <c r="V72" s="13"/>
      <c r="W72" s="13">
        <v>0</v>
      </c>
      <c r="X72" s="13"/>
      <c r="Y72" s="13">
        <v>41326</v>
      </c>
      <c r="Z72" s="13"/>
      <c r="AA72" s="13">
        <v>0</v>
      </c>
      <c r="AB72" s="13"/>
      <c r="AC72" s="21">
        <f t="shared" si="1"/>
        <v>11861694</v>
      </c>
      <c r="AD72" s="22"/>
      <c r="AE72" s="13">
        <v>493079</v>
      </c>
      <c r="AG72" s="13">
        <v>2609212</v>
      </c>
      <c r="AI72" s="16">
        <v>0</v>
      </c>
      <c r="AK72" s="16">
        <f>+GenRev!Q75-GenExp!AC72-AE72+GenRev!S75+AG72+AI72-'Gen Fd BS'!O73</f>
        <v>0</v>
      </c>
    </row>
    <row r="73" spans="1:37" s="16" customFormat="1" ht="12.75">
      <c r="A73" s="4" t="s">
        <v>66</v>
      </c>
      <c r="B73" s="4"/>
      <c r="C73" s="13">
        <v>2427376</v>
      </c>
      <c r="D73" s="13"/>
      <c r="E73" s="13">
        <v>841597</v>
      </c>
      <c r="F73" s="13"/>
      <c r="G73" s="13">
        <v>1942808</v>
      </c>
      <c r="H73" s="13"/>
      <c r="I73" s="13">
        <v>64504</v>
      </c>
      <c r="J73" s="13"/>
      <c r="K73" s="13">
        <v>33577</v>
      </c>
      <c r="L73" s="13"/>
      <c r="M73" s="13">
        <v>312583</v>
      </c>
      <c r="N73" s="13"/>
      <c r="O73" s="13">
        <v>0</v>
      </c>
      <c r="P73" s="13"/>
      <c r="Q73" s="13">
        <v>309116</v>
      </c>
      <c r="R73" s="13"/>
      <c r="S73" s="13">
        <v>0</v>
      </c>
      <c r="T73" s="21"/>
      <c r="U73" s="13">
        <v>82952</v>
      </c>
      <c r="V73" s="13"/>
      <c r="W73" s="13">
        <v>0</v>
      </c>
      <c r="X73" s="13"/>
      <c r="Y73" s="13">
        <v>7054</v>
      </c>
      <c r="Z73" s="13"/>
      <c r="AA73" s="13">
        <v>1798</v>
      </c>
      <c r="AB73" s="13"/>
      <c r="AC73" s="21">
        <f t="shared" si="1"/>
        <v>6023365</v>
      </c>
      <c r="AD73" s="22"/>
      <c r="AE73" s="13">
        <v>341154</v>
      </c>
      <c r="AG73" s="13">
        <v>1974873</v>
      </c>
      <c r="AI73" s="16">
        <v>0</v>
      </c>
      <c r="AK73" s="16">
        <f>+GenRev!Q76-GenExp!AC73-AE73+GenRev!S76+AG73+AI73-'Gen Fd BS'!O74</f>
        <v>0</v>
      </c>
    </row>
    <row r="74" spans="1:37" s="16" customFormat="1" ht="12.75">
      <c r="A74" s="4" t="s">
        <v>67</v>
      </c>
      <c r="B74" s="4"/>
      <c r="C74" s="13">
        <v>12026545</v>
      </c>
      <c r="D74" s="13"/>
      <c r="E74" s="13">
        <v>8432676</v>
      </c>
      <c r="F74" s="13"/>
      <c r="G74" s="13">
        <v>12596488</v>
      </c>
      <c r="H74" s="13"/>
      <c r="I74" s="13">
        <v>188192</v>
      </c>
      <c r="J74" s="13"/>
      <c r="K74" s="13">
        <v>0</v>
      </c>
      <c r="L74" s="13"/>
      <c r="M74" s="13">
        <v>887422</v>
      </c>
      <c r="N74" s="13"/>
      <c r="O74" s="51">
        <v>0</v>
      </c>
      <c r="P74" s="13"/>
      <c r="Q74" s="13">
        <v>0</v>
      </c>
      <c r="R74" s="13"/>
      <c r="S74" s="13">
        <v>0</v>
      </c>
      <c r="T74" s="21"/>
      <c r="U74" s="13">
        <v>0</v>
      </c>
      <c r="V74" s="13"/>
      <c r="W74" s="13">
        <v>0</v>
      </c>
      <c r="X74" s="13"/>
      <c r="Y74" s="13">
        <v>0</v>
      </c>
      <c r="Z74" s="13"/>
      <c r="AA74" s="13">
        <v>79131</v>
      </c>
      <c r="AB74" s="13"/>
      <c r="AC74" s="21">
        <f aca="true" t="shared" si="2" ref="AC74:AC97">SUM(C74:AA74)</f>
        <v>34210454</v>
      </c>
      <c r="AD74" s="22"/>
      <c r="AE74" s="13">
        <v>972322</v>
      </c>
      <c r="AG74" s="13">
        <v>14088086</v>
      </c>
      <c r="AI74" s="16">
        <v>0</v>
      </c>
      <c r="AK74" s="16">
        <f>+GenRev!Q77-GenExp!AC74-AE74+GenRev!S77+AG74+AI74-'Gen Fd BS'!O75</f>
        <v>0</v>
      </c>
    </row>
    <row r="75" spans="1:37" s="16" customFormat="1" ht="12.75">
      <c r="A75" s="4" t="s">
        <v>68</v>
      </c>
      <c r="B75" s="4"/>
      <c r="C75" s="13">
        <v>2988363</v>
      </c>
      <c r="D75" s="13"/>
      <c r="E75" s="13">
        <v>1746804</v>
      </c>
      <c r="F75" s="13"/>
      <c r="G75" s="13">
        <v>4049881</v>
      </c>
      <c r="H75" s="13"/>
      <c r="I75" s="13">
        <v>24840</v>
      </c>
      <c r="J75" s="13"/>
      <c r="K75" s="13">
        <v>34456</v>
      </c>
      <c r="L75" s="13"/>
      <c r="M75" s="13">
        <v>285302</v>
      </c>
      <c r="N75" s="13"/>
      <c r="O75" s="13">
        <v>0</v>
      </c>
      <c r="P75" s="13"/>
      <c r="Q75" s="13">
        <v>0</v>
      </c>
      <c r="R75" s="13"/>
      <c r="S75" s="13">
        <v>0</v>
      </c>
      <c r="T75" s="21"/>
      <c r="U75" s="13">
        <v>0</v>
      </c>
      <c r="V75" s="13"/>
      <c r="W75" s="13">
        <v>275454</v>
      </c>
      <c r="X75" s="13"/>
      <c r="Y75" s="13">
        <v>0</v>
      </c>
      <c r="Z75" s="13"/>
      <c r="AA75" s="13">
        <v>0</v>
      </c>
      <c r="AB75" s="13"/>
      <c r="AC75" s="21">
        <f t="shared" si="2"/>
        <v>9405100</v>
      </c>
      <c r="AD75" s="22"/>
      <c r="AE75" s="13">
        <v>682673</v>
      </c>
      <c r="AG75" s="13">
        <v>2107444</v>
      </c>
      <c r="AI75" s="16">
        <v>0</v>
      </c>
      <c r="AK75" s="16">
        <f>+GenRev!Q78-GenExp!AC75-AE75+GenRev!S78+AG75+AI75-'Gen Fd BS'!O76</f>
        <v>0</v>
      </c>
    </row>
    <row r="76" spans="1:37" s="16" customFormat="1" ht="12.75" hidden="1">
      <c r="A76" s="4" t="s">
        <v>176</v>
      </c>
      <c r="B76" s="4"/>
      <c r="C76" s="13">
        <v>0</v>
      </c>
      <c r="D76" s="13"/>
      <c r="E76" s="13">
        <v>0</v>
      </c>
      <c r="F76" s="13"/>
      <c r="G76" s="13">
        <v>0</v>
      </c>
      <c r="H76" s="13"/>
      <c r="I76" s="13">
        <v>0</v>
      </c>
      <c r="J76" s="13"/>
      <c r="K76" s="13">
        <v>0</v>
      </c>
      <c r="L76" s="13"/>
      <c r="M76" s="13">
        <v>0</v>
      </c>
      <c r="N76" s="13"/>
      <c r="O76" s="13">
        <v>0</v>
      </c>
      <c r="P76" s="13"/>
      <c r="Q76" s="13">
        <v>0</v>
      </c>
      <c r="R76" s="13"/>
      <c r="S76" s="13">
        <v>0</v>
      </c>
      <c r="T76" s="21"/>
      <c r="U76" s="13">
        <v>0</v>
      </c>
      <c r="V76" s="13"/>
      <c r="W76" s="13">
        <v>0</v>
      </c>
      <c r="X76" s="13"/>
      <c r="Y76" s="13">
        <v>0</v>
      </c>
      <c r="Z76" s="13"/>
      <c r="AA76" s="13">
        <v>0</v>
      </c>
      <c r="AB76" s="13"/>
      <c r="AC76" s="21">
        <f t="shared" si="2"/>
        <v>0</v>
      </c>
      <c r="AD76" s="22"/>
      <c r="AE76" s="13">
        <v>0</v>
      </c>
      <c r="AG76" s="13">
        <v>0</v>
      </c>
      <c r="AI76" s="16">
        <v>0</v>
      </c>
      <c r="AK76" s="16">
        <f>+GenRev!Q79-GenExp!AC76-AE76+GenRev!S79+AG76+AI76-'Gen Fd BS'!O77</f>
        <v>0</v>
      </c>
    </row>
    <row r="77" spans="1:37" s="16" customFormat="1" ht="12.75">
      <c r="A77" s="4" t="s">
        <v>181</v>
      </c>
      <c r="B77" s="4"/>
      <c r="C77" s="13">
        <v>12808876</v>
      </c>
      <c r="D77" s="13"/>
      <c r="E77" s="13">
        <v>3290660</v>
      </c>
      <c r="F77" s="13"/>
      <c r="G77" s="13">
        <v>9409592</v>
      </c>
      <c r="H77" s="13"/>
      <c r="I77" s="13">
        <v>458176</v>
      </c>
      <c r="J77" s="13"/>
      <c r="K77" s="13">
        <v>339264</v>
      </c>
      <c r="L77" s="13"/>
      <c r="M77" s="13">
        <v>403113</v>
      </c>
      <c r="N77" s="13"/>
      <c r="O77" s="13">
        <v>0</v>
      </c>
      <c r="P77" s="13"/>
      <c r="Q77" s="13">
        <v>145106</v>
      </c>
      <c r="R77" s="13"/>
      <c r="S77" s="13">
        <v>16712</v>
      </c>
      <c r="T77" s="21"/>
      <c r="U77" s="13">
        <v>0</v>
      </c>
      <c r="V77" s="13"/>
      <c r="W77" s="13">
        <v>1360626</v>
      </c>
      <c r="X77" s="13"/>
      <c r="Y77" s="13">
        <v>18285</v>
      </c>
      <c r="Z77" s="13"/>
      <c r="AA77" s="13">
        <v>4853</v>
      </c>
      <c r="AB77" s="13"/>
      <c r="AC77" s="21">
        <f t="shared" si="2"/>
        <v>28255263</v>
      </c>
      <c r="AD77" s="22"/>
      <c r="AE77" s="13">
        <v>2167869</v>
      </c>
      <c r="AG77" s="13">
        <v>1251609</v>
      </c>
      <c r="AI77" s="16">
        <v>0</v>
      </c>
      <c r="AK77" s="16">
        <f>+GenRev!Q80-GenExp!AC77-AE77+GenRev!S80+AG77+AI77-'Gen Fd BS'!O78</f>
        <v>0</v>
      </c>
    </row>
    <row r="78" spans="1:37" s="16" customFormat="1" ht="12.75">
      <c r="A78" s="4" t="s">
        <v>69</v>
      </c>
      <c r="B78" s="4"/>
      <c r="C78" s="13">
        <v>5159059</v>
      </c>
      <c r="D78" s="13"/>
      <c r="E78" s="13">
        <v>2861065</v>
      </c>
      <c r="F78" s="13"/>
      <c r="G78" s="13">
        <v>1319706</v>
      </c>
      <c r="H78" s="13"/>
      <c r="I78" s="13">
        <v>403941</v>
      </c>
      <c r="J78" s="13"/>
      <c r="K78" s="13">
        <v>691278</v>
      </c>
      <c r="L78" s="13"/>
      <c r="M78" s="13">
        <v>549003</v>
      </c>
      <c r="N78" s="13"/>
      <c r="O78" s="13">
        <v>252135</v>
      </c>
      <c r="P78" s="13"/>
      <c r="Q78" s="13">
        <v>0</v>
      </c>
      <c r="R78" s="13"/>
      <c r="S78" s="13">
        <v>0</v>
      </c>
      <c r="T78" s="21"/>
      <c r="U78" s="13">
        <v>0</v>
      </c>
      <c r="V78" s="13"/>
      <c r="W78" s="13">
        <v>0</v>
      </c>
      <c r="X78" s="13"/>
      <c r="Y78" s="13">
        <v>92444</v>
      </c>
      <c r="Z78" s="13"/>
      <c r="AA78" s="13">
        <v>14855</v>
      </c>
      <c r="AB78" s="13"/>
      <c r="AC78" s="21">
        <f t="shared" si="2"/>
        <v>11343486</v>
      </c>
      <c r="AD78" s="22"/>
      <c r="AE78" s="13">
        <v>7636805</v>
      </c>
      <c r="AG78" s="13">
        <v>3705939</v>
      </c>
      <c r="AI78" s="16">
        <v>0</v>
      </c>
      <c r="AK78" s="16">
        <f>+GenRev!Q81-GenExp!AC78-AE78+GenRev!S81+AG78+AI78-'Gen Fd BS'!O81</f>
        <v>0</v>
      </c>
    </row>
    <row r="80" spans="1:33" s="16" customFormat="1" ht="12.75">
      <c r="A80" s="4"/>
      <c r="B80" s="4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21"/>
      <c r="U80" s="13"/>
      <c r="V80" s="13"/>
      <c r="W80" s="13"/>
      <c r="X80" s="13"/>
      <c r="Y80" s="13"/>
      <c r="Z80" s="13"/>
      <c r="AA80" s="13"/>
      <c r="AB80" s="13"/>
      <c r="AC80" s="21" t="s">
        <v>261</v>
      </c>
      <c r="AD80" s="22"/>
      <c r="AE80" s="13"/>
      <c r="AG80" s="13"/>
    </row>
    <row r="81" spans="1:37" s="16" customFormat="1" ht="12.75">
      <c r="A81" s="4" t="s">
        <v>98</v>
      </c>
      <c r="B81" s="4"/>
      <c r="C81" s="13">
        <v>3883730</v>
      </c>
      <c r="D81" s="13"/>
      <c r="E81" s="13">
        <v>2869132</v>
      </c>
      <c r="F81" s="13"/>
      <c r="G81" s="13">
        <v>5458181</v>
      </c>
      <c r="H81" s="13"/>
      <c r="I81" s="13">
        <v>89141</v>
      </c>
      <c r="J81" s="13"/>
      <c r="K81" s="13">
        <v>130645</v>
      </c>
      <c r="L81" s="13"/>
      <c r="M81" s="13">
        <v>1418510</v>
      </c>
      <c r="N81" s="13"/>
      <c r="O81" s="13">
        <v>0</v>
      </c>
      <c r="P81" s="13"/>
      <c r="Q81" s="13">
        <v>0</v>
      </c>
      <c r="R81" s="13"/>
      <c r="S81" s="13">
        <v>207766</v>
      </c>
      <c r="T81" s="21"/>
      <c r="U81" s="13">
        <v>0</v>
      </c>
      <c r="V81" s="13"/>
      <c r="W81" s="13">
        <v>170400</v>
      </c>
      <c r="X81" s="13"/>
      <c r="Y81" s="13">
        <v>147846</v>
      </c>
      <c r="Z81" s="13"/>
      <c r="AA81" s="13">
        <v>18800</v>
      </c>
      <c r="AB81" s="13"/>
      <c r="AC81" s="21">
        <f>SUM(C81:AA81)</f>
        <v>14394151</v>
      </c>
      <c r="AD81" s="22"/>
      <c r="AE81" s="13">
        <v>1101653</v>
      </c>
      <c r="AG81" s="13">
        <v>5135188</v>
      </c>
      <c r="AI81" s="16">
        <v>0</v>
      </c>
      <c r="AK81" s="16">
        <f>+GenRev!Q82-GenExp!AC81-AE81+GenRev!S82+AG81+AI81-'Gen Fd BS'!O82</f>
        <v>0</v>
      </c>
    </row>
    <row r="82" spans="1:37" s="16" customFormat="1" ht="12.75">
      <c r="A82" s="4" t="s">
        <v>70</v>
      </c>
      <c r="B82" s="4"/>
      <c r="C82" s="19">
        <v>6576877</v>
      </c>
      <c r="D82" s="19"/>
      <c r="E82" s="19">
        <v>1910634</v>
      </c>
      <c r="F82" s="19"/>
      <c r="G82" s="19">
        <f>636244+510312</f>
        <v>1146556</v>
      </c>
      <c r="H82" s="19"/>
      <c r="I82" s="19">
        <v>0</v>
      </c>
      <c r="J82" s="19"/>
      <c r="K82" s="19">
        <v>259952</v>
      </c>
      <c r="L82" s="19"/>
      <c r="M82" s="19">
        <v>481811</v>
      </c>
      <c r="N82" s="19"/>
      <c r="O82" s="19">
        <v>109409</v>
      </c>
      <c r="P82" s="19"/>
      <c r="Q82" s="19">
        <v>226526</v>
      </c>
      <c r="R82" s="19"/>
      <c r="S82" s="19">
        <v>0</v>
      </c>
      <c r="T82" s="52"/>
      <c r="U82" s="19">
        <v>0</v>
      </c>
      <c r="V82" s="19"/>
      <c r="W82" s="19">
        <v>0</v>
      </c>
      <c r="X82" s="19"/>
      <c r="Y82" s="19">
        <v>336563</v>
      </c>
      <c r="Z82" s="19"/>
      <c r="AA82" s="19">
        <f>29537</f>
        <v>29537</v>
      </c>
      <c r="AB82" s="19"/>
      <c r="AC82" s="52">
        <f t="shared" si="2"/>
        <v>11077865</v>
      </c>
      <c r="AD82" s="22"/>
      <c r="AE82" s="19">
        <v>4026791</v>
      </c>
      <c r="AG82" s="19">
        <v>935552</v>
      </c>
      <c r="AI82" s="16">
        <v>0</v>
      </c>
      <c r="AK82" s="16">
        <f>+GenRev!Q83-GenExp!AC82-AE82+GenRev!S83+AG82+AI82-'Gen Fd BS'!O83</f>
        <v>0</v>
      </c>
    </row>
    <row r="83" spans="1:37" s="59" customFormat="1" ht="12.75">
      <c r="A83" s="1" t="s">
        <v>71</v>
      </c>
      <c r="B83" s="1"/>
      <c r="C83" s="13">
        <v>4619043</v>
      </c>
      <c r="D83" s="13"/>
      <c r="E83" s="13">
        <v>2088850</v>
      </c>
      <c r="F83" s="13"/>
      <c r="G83" s="13">
        <v>4945472</v>
      </c>
      <c r="H83" s="13"/>
      <c r="I83" s="13">
        <v>45557</v>
      </c>
      <c r="J83" s="13"/>
      <c r="K83" s="13">
        <v>66700</v>
      </c>
      <c r="L83" s="13"/>
      <c r="M83" s="13">
        <v>362550</v>
      </c>
      <c r="N83" s="13"/>
      <c r="O83" s="13">
        <v>61342</v>
      </c>
      <c r="P83" s="13"/>
      <c r="Q83" s="13">
        <v>379960</v>
      </c>
      <c r="R83" s="13"/>
      <c r="S83" s="13">
        <v>0</v>
      </c>
      <c r="T83" s="21"/>
      <c r="U83" s="13">
        <v>0</v>
      </c>
      <c r="V83" s="13"/>
      <c r="W83" s="13">
        <v>0</v>
      </c>
      <c r="X83" s="13"/>
      <c r="Y83" s="13">
        <v>0</v>
      </c>
      <c r="Z83" s="13"/>
      <c r="AA83" s="13">
        <v>0</v>
      </c>
      <c r="AB83" s="13"/>
      <c r="AC83" s="21">
        <f t="shared" si="2"/>
        <v>12569474</v>
      </c>
      <c r="AD83" s="68"/>
      <c r="AE83" s="13">
        <v>2013471</v>
      </c>
      <c r="AG83" s="13">
        <v>2708907</v>
      </c>
      <c r="AI83" s="59">
        <v>0</v>
      </c>
      <c r="AK83" s="59">
        <f>+GenRev!Q84-GenExp!AC83-AE83+GenRev!S84+AG83+AI83-'Gen Fd BS'!O84</f>
        <v>0</v>
      </c>
    </row>
    <row r="84" spans="1:37" s="16" customFormat="1" ht="12.75">
      <c r="A84" s="4" t="s">
        <v>72</v>
      </c>
      <c r="B84" s="4"/>
      <c r="C84" s="13">
        <v>3690780</v>
      </c>
      <c r="D84" s="13"/>
      <c r="E84" s="13">
        <v>2197020</v>
      </c>
      <c r="F84" s="13"/>
      <c r="G84" s="13">
        <v>4104463</v>
      </c>
      <c r="H84" s="13"/>
      <c r="I84" s="13">
        <v>944330</v>
      </c>
      <c r="J84" s="13"/>
      <c r="K84" s="13">
        <v>95887</v>
      </c>
      <c r="L84" s="13"/>
      <c r="M84" s="13">
        <v>445211</v>
      </c>
      <c r="N84" s="13"/>
      <c r="O84" s="13">
        <v>0</v>
      </c>
      <c r="P84" s="13"/>
      <c r="Q84" s="13">
        <v>0</v>
      </c>
      <c r="R84" s="13"/>
      <c r="S84" s="13">
        <v>0</v>
      </c>
      <c r="T84" s="21"/>
      <c r="U84" s="13">
        <v>0</v>
      </c>
      <c r="V84" s="13"/>
      <c r="W84" s="13">
        <v>429522</v>
      </c>
      <c r="X84" s="13"/>
      <c r="Y84" s="13">
        <v>9121</v>
      </c>
      <c r="Z84" s="13"/>
      <c r="AA84" s="13">
        <v>1245</v>
      </c>
      <c r="AB84" s="13"/>
      <c r="AC84" s="21">
        <f t="shared" si="2"/>
        <v>11917579</v>
      </c>
      <c r="AD84" s="22"/>
      <c r="AE84" s="13">
        <v>363656</v>
      </c>
      <c r="AG84" s="13">
        <v>2122473</v>
      </c>
      <c r="AI84" s="16">
        <v>0</v>
      </c>
      <c r="AK84" s="16">
        <f>+GenRev!Q85-GenExp!AC84-AE84+GenRev!S85+AG84+AI84-'Gen Fd BS'!O85</f>
        <v>0</v>
      </c>
    </row>
    <row r="85" spans="1:37" s="16" customFormat="1" ht="12.75">
      <c r="A85" s="4" t="s">
        <v>73</v>
      </c>
      <c r="B85" s="4"/>
      <c r="C85" s="13">
        <v>13849051</v>
      </c>
      <c r="D85" s="13"/>
      <c r="E85" s="13">
        <v>12519845</v>
      </c>
      <c r="F85" s="13"/>
      <c r="G85" s="13">
        <v>20296112</v>
      </c>
      <c r="H85" s="13"/>
      <c r="I85" s="13">
        <v>2550383</v>
      </c>
      <c r="J85" s="13"/>
      <c r="K85" s="13">
        <v>0</v>
      </c>
      <c r="L85" s="13"/>
      <c r="M85" s="13">
        <v>1055447</v>
      </c>
      <c r="N85" s="13"/>
      <c r="O85" s="13">
        <v>0</v>
      </c>
      <c r="P85" s="13"/>
      <c r="Q85" s="13">
        <v>0</v>
      </c>
      <c r="R85" s="13"/>
      <c r="S85" s="13">
        <v>639792</v>
      </c>
      <c r="T85" s="21"/>
      <c r="U85" s="13">
        <v>0</v>
      </c>
      <c r="V85" s="13"/>
      <c r="W85" s="13">
        <v>7133706</v>
      </c>
      <c r="X85" s="13"/>
      <c r="Y85" s="13">
        <v>95151</v>
      </c>
      <c r="Z85" s="13"/>
      <c r="AA85" s="13">
        <v>2349</v>
      </c>
      <c r="AB85" s="13"/>
      <c r="AC85" s="21">
        <f t="shared" si="2"/>
        <v>58141836</v>
      </c>
      <c r="AD85" s="22"/>
      <c r="AE85" s="13">
        <v>35477</v>
      </c>
      <c r="AG85" s="13">
        <v>13159479</v>
      </c>
      <c r="AI85" s="16">
        <v>0</v>
      </c>
      <c r="AK85" s="16">
        <f>+GenRev!Q86-GenExp!AC85-AE85+GenRev!S86+AG85+AI85-'Gen Fd BS'!O86</f>
        <v>0</v>
      </c>
    </row>
    <row r="86" spans="1:37" s="16" customFormat="1" ht="12.75">
      <c r="A86" s="4" t="s">
        <v>74</v>
      </c>
      <c r="B86" s="4"/>
      <c r="C86" s="13">
        <v>25863339</v>
      </c>
      <c r="D86" s="13"/>
      <c r="E86" s="13">
        <v>25258947</v>
      </c>
      <c r="F86" s="13"/>
      <c r="G86" s="13">
        <v>55034840</v>
      </c>
      <c r="H86" s="13"/>
      <c r="I86" s="13">
        <v>5000</v>
      </c>
      <c r="J86" s="13"/>
      <c r="K86" s="13">
        <v>455560</v>
      </c>
      <c r="L86" s="13"/>
      <c r="M86" s="13">
        <v>2985895</v>
      </c>
      <c r="N86" s="13"/>
      <c r="O86" s="13">
        <v>0</v>
      </c>
      <c r="P86" s="13"/>
      <c r="Q86" s="13">
        <v>0</v>
      </c>
      <c r="R86" s="13"/>
      <c r="S86" s="13">
        <v>967716</v>
      </c>
      <c r="T86" s="21"/>
      <c r="U86" s="13">
        <v>0</v>
      </c>
      <c r="V86" s="13"/>
      <c r="W86" s="13">
        <v>363314</v>
      </c>
      <c r="X86" s="13"/>
      <c r="Y86" s="13">
        <v>0</v>
      </c>
      <c r="Z86" s="13"/>
      <c r="AA86" s="13">
        <v>0</v>
      </c>
      <c r="AB86" s="13"/>
      <c r="AC86" s="21">
        <f t="shared" si="2"/>
        <v>110934611</v>
      </c>
      <c r="AD86" s="22"/>
      <c r="AE86" s="13">
        <v>5477583</v>
      </c>
      <c r="AG86" s="13">
        <v>72155313</v>
      </c>
      <c r="AI86" s="16">
        <v>0</v>
      </c>
      <c r="AK86" s="16">
        <f>+GenRev!Q87-GenExp!AC86-AE86+GenRev!S87+AG86+AI86-'Gen Fd BS'!O87</f>
        <v>0</v>
      </c>
    </row>
    <row r="87" spans="1:37" s="16" customFormat="1" ht="12.75">
      <c r="A87" s="4" t="s">
        <v>75</v>
      </c>
      <c r="B87" s="4"/>
      <c r="C87" s="13">
        <v>15886103</v>
      </c>
      <c r="D87" s="13"/>
      <c r="E87" s="13">
        <v>10266430</v>
      </c>
      <c r="F87" s="13"/>
      <c r="G87" s="13">
        <v>9495954</v>
      </c>
      <c r="H87" s="13"/>
      <c r="I87" s="13">
        <v>0</v>
      </c>
      <c r="J87" s="13"/>
      <c r="K87" s="13">
        <v>0</v>
      </c>
      <c r="L87" s="13"/>
      <c r="M87" s="13">
        <v>772320</v>
      </c>
      <c r="N87" s="13"/>
      <c r="O87" s="13">
        <v>0</v>
      </c>
      <c r="P87" s="13"/>
      <c r="Q87" s="13">
        <v>0</v>
      </c>
      <c r="R87" s="13"/>
      <c r="S87" s="13">
        <v>0</v>
      </c>
      <c r="T87" s="21"/>
      <c r="U87" s="13">
        <v>0</v>
      </c>
      <c r="V87" s="13"/>
      <c r="W87" s="13">
        <v>0</v>
      </c>
      <c r="X87" s="13"/>
      <c r="Y87" s="13">
        <v>904</v>
      </c>
      <c r="Z87" s="13"/>
      <c r="AA87" s="13">
        <v>295</v>
      </c>
      <c r="AB87" s="13"/>
      <c r="AC87" s="21">
        <f t="shared" si="2"/>
        <v>36422006</v>
      </c>
      <c r="AD87" s="22"/>
      <c r="AE87" s="13">
        <v>3122544</v>
      </c>
      <c r="AG87" s="13">
        <v>3690288</v>
      </c>
      <c r="AI87" s="16">
        <v>0</v>
      </c>
      <c r="AK87" s="16">
        <f>+GenRev!Q88-GenExp!AC87-AE87+GenRev!S88+AG87+AI87-'Gen Fd BS'!O88</f>
        <v>0</v>
      </c>
    </row>
    <row r="88" spans="1:37" s="16" customFormat="1" ht="12.75">
      <c r="A88" s="4" t="s">
        <v>76</v>
      </c>
      <c r="B88" s="4"/>
      <c r="C88" s="13">
        <v>4466985</v>
      </c>
      <c r="D88" s="13"/>
      <c r="E88" s="13">
        <v>3602314</v>
      </c>
      <c r="F88" s="13"/>
      <c r="G88" s="13">
        <v>2526063</v>
      </c>
      <c r="H88" s="13"/>
      <c r="I88" s="13">
        <v>228614</v>
      </c>
      <c r="J88" s="13"/>
      <c r="K88" s="13">
        <v>133990</v>
      </c>
      <c r="L88" s="13"/>
      <c r="M88" s="13">
        <v>490194</v>
      </c>
      <c r="N88" s="13"/>
      <c r="O88" s="13">
        <v>0</v>
      </c>
      <c r="P88" s="13"/>
      <c r="Q88" s="13">
        <v>435448</v>
      </c>
      <c r="R88" s="13"/>
      <c r="S88" s="13">
        <v>0</v>
      </c>
      <c r="T88" s="21"/>
      <c r="U88" s="13">
        <v>0</v>
      </c>
      <c r="V88" s="13"/>
      <c r="W88" s="13">
        <v>1480366</v>
      </c>
      <c r="X88" s="13"/>
      <c r="Y88" s="13">
        <v>24067</v>
      </c>
      <c r="Z88" s="13"/>
      <c r="AA88" s="13">
        <v>1055</v>
      </c>
      <c r="AB88" s="13"/>
      <c r="AC88" s="21">
        <f t="shared" si="2"/>
        <v>13389096</v>
      </c>
      <c r="AD88" s="22"/>
      <c r="AE88" s="13">
        <v>7965868</v>
      </c>
      <c r="AG88" s="13">
        <v>13459426</v>
      </c>
      <c r="AI88" s="16">
        <v>0</v>
      </c>
      <c r="AK88" s="16">
        <f>+GenRev!Q89-GenExp!AC88-AE88+GenRev!S89+AG88+AI88-'Gen Fd BS'!O89</f>
        <v>0</v>
      </c>
    </row>
    <row r="89" spans="1:37" s="112" customFormat="1" ht="12.75">
      <c r="A89" s="108" t="s">
        <v>77</v>
      </c>
      <c r="B89" s="108"/>
      <c r="C89" s="109">
        <v>8056819</v>
      </c>
      <c r="D89" s="109"/>
      <c r="E89" s="109">
        <v>1782052</v>
      </c>
      <c r="F89" s="109"/>
      <c r="G89" s="109">
        <v>5119915</v>
      </c>
      <c r="H89" s="109"/>
      <c r="I89" s="109">
        <v>118166</v>
      </c>
      <c r="J89" s="109"/>
      <c r="K89" s="109">
        <v>218353</v>
      </c>
      <c r="L89" s="109"/>
      <c r="M89" s="109">
        <v>1719643</v>
      </c>
      <c r="N89" s="109"/>
      <c r="O89" s="109">
        <v>217583</v>
      </c>
      <c r="P89" s="109"/>
      <c r="Q89" s="109">
        <v>0</v>
      </c>
      <c r="R89" s="109"/>
      <c r="S89" s="109">
        <v>562327</v>
      </c>
      <c r="T89" s="110"/>
      <c r="U89" s="109">
        <v>0</v>
      </c>
      <c r="V89" s="109"/>
      <c r="W89" s="109">
        <v>0</v>
      </c>
      <c r="X89" s="109"/>
      <c r="Y89" s="109">
        <v>0</v>
      </c>
      <c r="Z89" s="109"/>
      <c r="AA89" s="109">
        <v>0</v>
      </c>
      <c r="AB89" s="109"/>
      <c r="AC89" s="110">
        <f t="shared" si="2"/>
        <v>17794858</v>
      </c>
      <c r="AD89" s="111"/>
      <c r="AE89" s="109">
        <f>748638</f>
        <v>748638</v>
      </c>
      <c r="AG89" s="109">
        <v>5221204</v>
      </c>
      <c r="AI89" s="112">
        <v>-41254</v>
      </c>
      <c r="AK89" s="112">
        <f>+GenRev!Q90-GenExp!AC89-AE89+GenRev!S90+AG89+AI89-'Gen Fd BS'!O90</f>
        <v>0</v>
      </c>
    </row>
    <row r="90" spans="1:37" s="16" customFormat="1" ht="12.75">
      <c r="A90" s="4" t="s">
        <v>78</v>
      </c>
      <c r="B90" s="4"/>
      <c r="C90" s="13">
        <v>2805211</v>
      </c>
      <c r="D90" s="13"/>
      <c r="E90" s="13">
        <v>1350036</v>
      </c>
      <c r="F90" s="13"/>
      <c r="G90" s="13">
        <v>2746260</v>
      </c>
      <c r="H90" s="13"/>
      <c r="I90" s="13">
        <v>57180</v>
      </c>
      <c r="J90" s="13"/>
      <c r="K90" s="13">
        <v>42602</v>
      </c>
      <c r="L90" s="13"/>
      <c r="M90" s="13">
        <v>240221</v>
      </c>
      <c r="N90" s="13"/>
      <c r="O90" s="13">
        <v>0</v>
      </c>
      <c r="P90" s="13"/>
      <c r="Q90" s="13">
        <v>64258</v>
      </c>
      <c r="R90" s="13"/>
      <c r="S90" s="13">
        <v>0</v>
      </c>
      <c r="T90" s="21"/>
      <c r="U90" s="13">
        <v>0</v>
      </c>
      <c r="V90" s="13"/>
      <c r="W90" s="13">
        <v>312686</v>
      </c>
      <c r="X90" s="13"/>
      <c r="Y90" s="13">
        <v>0</v>
      </c>
      <c r="Z90" s="13"/>
      <c r="AA90" s="13">
        <v>0</v>
      </c>
      <c r="AB90" s="13"/>
      <c r="AC90" s="21">
        <f t="shared" si="2"/>
        <v>7618454</v>
      </c>
      <c r="AD90" s="22"/>
      <c r="AE90" s="13">
        <v>189670</v>
      </c>
      <c r="AG90" s="13">
        <v>1316058</v>
      </c>
      <c r="AI90" s="16">
        <v>0</v>
      </c>
      <c r="AK90" s="16">
        <f>+GenRev!Q91-GenExp!AC90-AE90+GenRev!S91+AG90+AI90-'Gen Fd BS'!O91</f>
        <v>0</v>
      </c>
    </row>
    <row r="91" spans="1:37" s="16" customFormat="1" ht="12.75">
      <c r="A91" s="4" t="s">
        <v>79</v>
      </c>
      <c r="B91" s="4"/>
      <c r="C91" s="13">
        <v>931262</v>
      </c>
      <c r="D91" s="13"/>
      <c r="E91" s="13">
        <v>252435</v>
      </c>
      <c r="F91" s="13"/>
      <c r="G91" s="13">
        <v>583734</v>
      </c>
      <c r="H91" s="13"/>
      <c r="I91" s="13">
        <v>235525</v>
      </c>
      <c r="J91" s="13"/>
      <c r="K91" s="13">
        <v>24967</v>
      </c>
      <c r="L91" s="13"/>
      <c r="M91" s="13">
        <v>109893</v>
      </c>
      <c r="N91" s="13"/>
      <c r="O91" s="13">
        <v>0</v>
      </c>
      <c r="P91" s="13"/>
      <c r="Q91" s="13">
        <v>0</v>
      </c>
      <c r="R91" s="13"/>
      <c r="S91" s="13">
        <v>567603</v>
      </c>
      <c r="T91" s="21"/>
      <c r="U91" s="13">
        <v>0</v>
      </c>
      <c r="V91" s="13"/>
      <c r="W91" s="13">
        <v>0</v>
      </c>
      <c r="X91" s="13"/>
      <c r="Y91" s="13">
        <v>0</v>
      </c>
      <c r="Z91" s="13"/>
      <c r="AA91" s="13">
        <v>0</v>
      </c>
      <c r="AB91" s="13"/>
      <c r="AC91" s="21">
        <f t="shared" si="2"/>
        <v>2705419</v>
      </c>
      <c r="AD91" s="22"/>
      <c r="AE91" s="13">
        <v>159556</v>
      </c>
      <c r="AG91" s="13">
        <v>101607</v>
      </c>
      <c r="AI91" s="16">
        <v>0</v>
      </c>
      <c r="AK91" s="16">
        <f>+GenRev!Q92-GenExp!AC91-AE91+GenRev!S92+AG91+AI91-'Gen Fd BS'!O92</f>
        <v>0</v>
      </c>
    </row>
    <row r="92" spans="1:37" s="16" customFormat="1" ht="12.75">
      <c r="A92" s="4" t="s">
        <v>80</v>
      </c>
      <c r="B92" s="4"/>
      <c r="C92" s="13">
        <v>18604180</v>
      </c>
      <c r="D92" s="13"/>
      <c r="E92" s="13">
        <v>7200968</v>
      </c>
      <c r="F92" s="13"/>
      <c r="G92" s="13">
        <v>20327691</v>
      </c>
      <c r="H92" s="13"/>
      <c r="I92" s="13">
        <v>0</v>
      </c>
      <c r="J92" s="13"/>
      <c r="K92" s="13">
        <v>0</v>
      </c>
      <c r="L92" s="13"/>
      <c r="M92" s="13">
        <v>1179603</v>
      </c>
      <c r="N92" s="13"/>
      <c r="O92" s="13">
        <v>455851</v>
      </c>
      <c r="P92" s="13"/>
      <c r="Q92" s="13">
        <v>0</v>
      </c>
      <c r="R92" s="13"/>
      <c r="S92" s="13">
        <v>0</v>
      </c>
      <c r="T92" s="21"/>
      <c r="U92" s="13">
        <v>0</v>
      </c>
      <c r="V92" s="13"/>
      <c r="W92" s="13">
        <v>0</v>
      </c>
      <c r="X92" s="13"/>
      <c r="Y92" s="13">
        <v>7763</v>
      </c>
      <c r="Z92" s="13"/>
      <c r="AA92" s="13">
        <v>2464</v>
      </c>
      <c r="AB92" s="13"/>
      <c r="AC92" s="21">
        <f t="shared" si="2"/>
        <v>47778520</v>
      </c>
      <c r="AD92" s="22"/>
      <c r="AE92" s="13">
        <v>9092179</v>
      </c>
      <c r="AG92" s="13">
        <v>21039858</v>
      </c>
      <c r="AI92" s="16">
        <v>3664</v>
      </c>
      <c r="AK92" s="16">
        <f>+GenRev!Q93-GenExp!AC92-AE92+GenRev!S93+AG92+AI92-'Gen Fd BS'!O93</f>
        <v>0</v>
      </c>
    </row>
    <row r="93" spans="1:37" s="16" customFormat="1" ht="12.75">
      <c r="A93" s="4" t="s">
        <v>81</v>
      </c>
      <c r="B93" s="4"/>
      <c r="C93" s="13">
        <v>4167186</v>
      </c>
      <c r="D93" s="13"/>
      <c r="E93" s="13">
        <v>1356706</v>
      </c>
      <c r="F93" s="13"/>
      <c r="G93" s="13">
        <v>6277709</v>
      </c>
      <c r="H93" s="13"/>
      <c r="I93" s="13">
        <v>2287664</v>
      </c>
      <c r="J93" s="13"/>
      <c r="K93" s="13">
        <v>62601</v>
      </c>
      <c r="L93" s="13"/>
      <c r="M93" s="13">
        <v>433058</v>
      </c>
      <c r="N93" s="13"/>
      <c r="O93" s="13">
        <v>0</v>
      </c>
      <c r="P93" s="13"/>
      <c r="Q93" s="13">
        <v>0</v>
      </c>
      <c r="R93" s="13"/>
      <c r="S93" s="13">
        <v>0</v>
      </c>
      <c r="T93" s="21"/>
      <c r="U93" s="13">
        <v>0</v>
      </c>
      <c r="V93" s="13"/>
      <c r="W93" s="13">
        <v>1294296</v>
      </c>
      <c r="X93" s="13"/>
      <c r="Y93" s="13">
        <v>0</v>
      </c>
      <c r="Z93" s="13"/>
      <c r="AA93" s="13">
        <f>7325+4400</f>
        <v>11725</v>
      </c>
      <c r="AB93" s="13"/>
      <c r="AC93" s="21">
        <f t="shared" si="2"/>
        <v>15890945</v>
      </c>
      <c r="AD93" s="22"/>
      <c r="AE93" s="13">
        <f>83600+1811130</f>
        <v>1894730</v>
      </c>
      <c r="AG93" s="13">
        <v>6862877</v>
      </c>
      <c r="AI93" s="16">
        <v>0</v>
      </c>
      <c r="AK93" s="16">
        <f>+GenRev!Q94-GenExp!AC93-AE93+GenRev!S94+AG93+AI93-'Gen Fd BS'!O94</f>
        <v>0</v>
      </c>
    </row>
    <row r="94" spans="1:37" s="16" customFormat="1" ht="12.75">
      <c r="A94" s="4" t="s">
        <v>82</v>
      </c>
      <c r="B94" s="4"/>
      <c r="C94" s="13">
        <v>7929360</v>
      </c>
      <c r="D94" s="13"/>
      <c r="E94" s="13">
        <v>4316229</v>
      </c>
      <c r="F94" s="13"/>
      <c r="G94" s="13">
        <v>8684066</v>
      </c>
      <c r="H94" s="13"/>
      <c r="I94" s="13">
        <v>163286</v>
      </c>
      <c r="J94" s="13"/>
      <c r="K94" s="13">
        <v>257211</v>
      </c>
      <c r="L94" s="13"/>
      <c r="M94" s="13">
        <v>799449</v>
      </c>
      <c r="N94" s="13"/>
      <c r="O94" s="13">
        <v>0</v>
      </c>
      <c r="P94" s="13"/>
      <c r="Q94" s="13">
        <v>88662</v>
      </c>
      <c r="R94" s="13"/>
      <c r="S94" s="13">
        <v>854376</v>
      </c>
      <c r="T94" s="21"/>
      <c r="U94" s="13">
        <v>0</v>
      </c>
      <c r="V94" s="13"/>
      <c r="W94" s="13">
        <v>0</v>
      </c>
      <c r="X94" s="13"/>
      <c r="Y94" s="13">
        <v>0</v>
      </c>
      <c r="Z94" s="13"/>
      <c r="AA94" s="13">
        <v>0</v>
      </c>
      <c r="AB94" s="13"/>
      <c r="AC94" s="21">
        <f t="shared" si="2"/>
        <v>23092639</v>
      </c>
      <c r="AD94" s="22"/>
      <c r="AE94" s="13">
        <v>1587520</v>
      </c>
      <c r="AG94" s="13">
        <v>7909462</v>
      </c>
      <c r="AI94" s="16">
        <v>-5236</v>
      </c>
      <c r="AK94" s="16">
        <f>+GenRev!Q95-GenExp!AC94-AE94+GenRev!S95+AG94+AI94-'Gen Fd BS'!O95</f>
        <v>0</v>
      </c>
    </row>
    <row r="95" spans="1:37" s="16" customFormat="1" ht="12.75" hidden="1">
      <c r="A95" s="4" t="s">
        <v>174</v>
      </c>
      <c r="B95" s="4"/>
      <c r="C95" s="13">
        <v>0</v>
      </c>
      <c r="D95" s="13"/>
      <c r="E95" s="13">
        <v>0</v>
      </c>
      <c r="F95" s="13"/>
      <c r="G95" s="13">
        <v>0</v>
      </c>
      <c r="H95" s="13"/>
      <c r="I95" s="13">
        <v>0</v>
      </c>
      <c r="J95" s="13"/>
      <c r="K95" s="13">
        <v>0</v>
      </c>
      <c r="L95" s="13"/>
      <c r="M95" s="13">
        <v>0</v>
      </c>
      <c r="N95" s="13"/>
      <c r="O95" s="13">
        <v>0</v>
      </c>
      <c r="P95" s="13"/>
      <c r="Q95" s="13">
        <v>0</v>
      </c>
      <c r="R95" s="13"/>
      <c r="S95" s="13">
        <v>0</v>
      </c>
      <c r="T95" s="21"/>
      <c r="U95" s="13">
        <v>0</v>
      </c>
      <c r="V95" s="13"/>
      <c r="W95" s="13">
        <v>0</v>
      </c>
      <c r="X95" s="13"/>
      <c r="Y95" s="13">
        <v>0</v>
      </c>
      <c r="Z95" s="13"/>
      <c r="AA95" s="13">
        <v>0</v>
      </c>
      <c r="AB95" s="13"/>
      <c r="AC95" s="21">
        <f t="shared" si="2"/>
        <v>0</v>
      </c>
      <c r="AD95" s="22"/>
      <c r="AE95" s="13">
        <v>0</v>
      </c>
      <c r="AG95" s="13">
        <v>0</v>
      </c>
      <c r="AI95" s="16">
        <v>0</v>
      </c>
      <c r="AK95" s="16">
        <f>+GenRev!Q96-GenExp!AC95-AE95+GenRev!S96+AG95+AI95-'Gen Fd BS'!O96</f>
        <v>0</v>
      </c>
    </row>
    <row r="96" spans="1:37" s="16" customFormat="1" ht="12.75">
      <c r="A96" s="4" t="s">
        <v>83</v>
      </c>
      <c r="B96" s="4"/>
      <c r="C96" s="13">
        <v>15196561</v>
      </c>
      <c r="D96" s="13"/>
      <c r="E96" s="13">
        <v>6286030</v>
      </c>
      <c r="F96" s="13"/>
      <c r="G96" s="13">
        <v>6863536</v>
      </c>
      <c r="H96" s="13"/>
      <c r="I96" s="13">
        <v>383212</v>
      </c>
      <c r="J96" s="13"/>
      <c r="K96" s="13">
        <v>187239</v>
      </c>
      <c r="L96" s="13"/>
      <c r="M96" s="13">
        <v>523599</v>
      </c>
      <c r="N96" s="13"/>
      <c r="O96" s="13">
        <v>0</v>
      </c>
      <c r="P96" s="13"/>
      <c r="Q96" s="13">
        <v>117443</v>
      </c>
      <c r="R96" s="13"/>
      <c r="S96" s="13">
        <v>398336</v>
      </c>
      <c r="T96" s="21"/>
      <c r="U96" s="13">
        <v>0</v>
      </c>
      <c r="V96" s="13"/>
      <c r="W96" s="13">
        <v>309530</v>
      </c>
      <c r="X96" s="13"/>
      <c r="Y96" s="13">
        <v>2694</v>
      </c>
      <c r="Z96" s="13"/>
      <c r="AA96" s="13">
        <v>518</v>
      </c>
      <c r="AB96" s="13"/>
      <c r="AC96" s="21">
        <f t="shared" si="2"/>
        <v>30268698</v>
      </c>
      <c r="AD96" s="22"/>
      <c r="AE96" s="13">
        <v>3123056</v>
      </c>
      <c r="AG96" s="13">
        <v>8856252</v>
      </c>
      <c r="AI96" s="16">
        <v>0</v>
      </c>
      <c r="AK96" s="16">
        <f>+GenRev!Q97-GenExp!AC96-AE96+GenRev!S97+AG96+AI96-'Gen Fd BS'!O97</f>
        <v>0</v>
      </c>
    </row>
    <row r="97" spans="1:37" s="16" customFormat="1" ht="12.75" hidden="1">
      <c r="A97" s="4" t="s">
        <v>175</v>
      </c>
      <c r="B97" s="4"/>
      <c r="C97" s="52">
        <v>0</v>
      </c>
      <c r="D97" s="52"/>
      <c r="E97" s="52">
        <v>0</v>
      </c>
      <c r="F97" s="52"/>
      <c r="G97" s="52">
        <v>0</v>
      </c>
      <c r="H97" s="52"/>
      <c r="I97" s="52">
        <v>0</v>
      </c>
      <c r="J97" s="52"/>
      <c r="K97" s="52">
        <v>0</v>
      </c>
      <c r="L97" s="52"/>
      <c r="M97" s="52">
        <v>0</v>
      </c>
      <c r="N97" s="52"/>
      <c r="O97" s="52">
        <v>0</v>
      </c>
      <c r="P97" s="52"/>
      <c r="Q97" s="52">
        <v>0</v>
      </c>
      <c r="R97" s="52"/>
      <c r="S97" s="52">
        <v>0</v>
      </c>
      <c r="T97" s="52"/>
      <c r="U97" s="52">
        <v>0</v>
      </c>
      <c r="V97" s="52"/>
      <c r="W97" s="52">
        <v>0</v>
      </c>
      <c r="X97" s="52"/>
      <c r="Y97" s="52">
        <v>0</v>
      </c>
      <c r="Z97" s="52"/>
      <c r="AA97" s="52">
        <v>0</v>
      </c>
      <c r="AB97" s="52"/>
      <c r="AC97" s="21">
        <f t="shared" si="2"/>
        <v>0</v>
      </c>
      <c r="AD97" s="22"/>
      <c r="AE97" s="13">
        <v>0</v>
      </c>
      <c r="AG97" s="13">
        <v>0</v>
      </c>
      <c r="AI97" s="16">
        <v>0</v>
      </c>
      <c r="AK97" s="16">
        <f>+GenRev!Q98-GenExp!AC97-AE97+GenRev!S98+AG97+AI97-'Gen Fd BS'!O98</f>
        <v>-849668</v>
      </c>
    </row>
    <row r="98" spans="1:31" s="16" customFormat="1" ht="12.75">
      <c r="A98" s="4"/>
      <c r="B98" s="4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49"/>
    </row>
    <row r="99" spans="1:31" s="16" customFormat="1" ht="12.75">
      <c r="A99" s="4"/>
      <c r="B99" s="4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49"/>
    </row>
    <row r="100" spans="1:31" s="16" customFormat="1" ht="12.75">
      <c r="A100" s="49"/>
      <c r="B100" s="49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49"/>
    </row>
    <row r="101" spans="1:31" s="16" customFormat="1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</row>
    <row r="102" spans="1:31" s="16" customFormat="1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</row>
    <row r="103" spans="1:31" s="16" customFormat="1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</row>
    <row r="104" spans="1:31" s="16" customFormat="1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</row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</sheetData>
  <printOptions/>
  <pageMargins left="0.75" right="0.75" top="0.5" bottom="0.5" header="0" footer="0.25"/>
  <pageSetup firstPageNumber="28" useFirstPageNumber="1" horizontalDpi="600" verticalDpi="600" orientation="portrait" pageOrder="overThenDown" scale="92" r:id="rId1"/>
  <headerFooter alignWithMargins="0">
    <oddFooter>&amp;C&amp;"Times New Roman,Regular"&amp;11&amp;P</oddFooter>
  </headerFooter>
  <colBreaks count="1" manualBreakCount="1">
    <brk id="13" min="8" max="9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IU107"/>
  <sheetViews>
    <sheetView tabSelected="1" zoomScaleSheetLayoutView="100" workbookViewId="0" topLeftCell="B1">
      <selection activeCell="A101" sqref="A101"/>
    </sheetView>
  </sheetViews>
  <sheetFormatPr defaultColWidth="9.140625" defaultRowHeight="12.75"/>
  <cols>
    <col min="1" max="1" width="16.28125" style="58" customWidth="1"/>
    <col min="2" max="2" width="1.7109375" style="58" customWidth="1"/>
    <col min="3" max="3" width="11.7109375" style="58" customWidth="1"/>
    <col min="4" max="4" width="1.7109375" style="58" customWidth="1"/>
    <col min="5" max="5" width="11.7109375" style="58" customWidth="1"/>
    <col min="6" max="6" width="1.7109375" style="58" customWidth="1"/>
    <col min="7" max="7" width="11.7109375" style="58" customWidth="1"/>
    <col min="8" max="8" width="1.7109375" style="58" customWidth="1"/>
    <col min="9" max="9" width="11.7109375" style="58" customWidth="1"/>
    <col min="10" max="10" width="1.7109375" style="58" customWidth="1"/>
    <col min="11" max="11" width="11.7109375" style="58" customWidth="1"/>
    <col min="12" max="12" width="1.7109375" style="58" customWidth="1"/>
    <col min="13" max="13" width="12.7109375" style="58" customWidth="1"/>
    <col min="14" max="14" width="1.7109375" style="58" customWidth="1"/>
    <col min="15" max="15" width="12.7109375" style="58" customWidth="1"/>
    <col min="16" max="16" width="1.7109375" style="58" customWidth="1"/>
    <col min="17" max="17" width="12.7109375" style="58" customWidth="1"/>
    <col min="18" max="18" width="10.140625" style="11" bestFit="1" customWidth="1"/>
    <col min="19" max="19" width="13.28125" style="11" bestFit="1" customWidth="1"/>
    <col min="20" max="16384" width="9.140625" style="11" customWidth="1"/>
  </cols>
  <sheetData>
    <row r="1" spans="1:18" s="54" customFormat="1" ht="12.75">
      <c r="A1" s="43" t="s">
        <v>209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44"/>
    </row>
    <row r="2" spans="1:18" s="54" customFormat="1" ht="12.75">
      <c r="A2" s="43" t="s">
        <v>249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44"/>
    </row>
    <row r="3" spans="1:18" ht="12.75">
      <c r="A3" s="36" t="s">
        <v>187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8"/>
    </row>
    <row r="4" spans="1:18" ht="12.75">
      <c r="A4" s="4" t="s">
        <v>261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8"/>
    </row>
    <row r="5" spans="1:19" ht="12.75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8"/>
      <c r="S5" s="11" t="s">
        <v>105</v>
      </c>
    </row>
    <row r="6" spans="1:19" ht="12.75">
      <c r="A6" s="8"/>
      <c r="B6" s="8"/>
      <c r="C6" s="8" t="s">
        <v>148</v>
      </c>
      <c r="D6" s="8"/>
      <c r="E6" s="8" t="s">
        <v>167</v>
      </c>
      <c r="F6" s="8"/>
      <c r="G6" s="8" t="s">
        <v>105</v>
      </c>
      <c r="H6" s="8"/>
      <c r="I6" s="8" t="s">
        <v>0</v>
      </c>
      <c r="J6" s="8"/>
      <c r="K6" s="8" t="s">
        <v>1</v>
      </c>
      <c r="L6" s="8"/>
      <c r="M6" s="8" t="s">
        <v>2</v>
      </c>
      <c r="N6" s="8"/>
      <c r="O6" s="8" t="s">
        <v>3</v>
      </c>
      <c r="P6" s="8"/>
      <c r="Q6" s="8" t="s">
        <v>4</v>
      </c>
      <c r="R6" s="18"/>
      <c r="S6" s="11" t="s">
        <v>215</v>
      </c>
    </row>
    <row r="7" spans="1:255" ht="12.75">
      <c r="A7" s="32" t="s">
        <v>5</v>
      </c>
      <c r="B7" s="8"/>
      <c r="C7" s="32" t="s">
        <v>236</v>
      </c>
      <c r="D7" s="4"/>
      <c r="E7" s="32" t="s">
        <v>6</v>
      </c>
      <c r="F7" s="4"/>
      <c r="G7" s="32" t="s">
        <v>6</v>
      </c>
      <c r="H7" s="4"/>
      <c r="I7" s="32" t="s">
        <v>8</v>
      </c>
      <c r="J7" s="4"/>
      <c r="K7" s="32" t="s">
        <v>9</v>
      </c>
      <c r="L7" s="4"/>
      <c r="M7" s="32" t="s">
        <v>10</v>
      </c>
      <c r="N7" s="4"/>
      <c r="O7" s="32" t="s">
        <v>11</v>
      </c>
      <c r="P7" s="4"/>
      <c r="Q7" s="32" t="s">
        <v>12</v>
      </c>
      <c r="R7" s="25"/>
      <c r="S7" s="55" t="s">
        <v>216</v>
      </c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</row>
    <row r="8" spans="1:255" ht="12.75" hidden="1">
      <c r="A8" s="76" t="s">
        <v>251</v>
      </c>
      <c r="B8" s="8"/>
      <c r="C8" s="27">
        <v>0</v>
      </c>
      <c r="D8" s="27"/>
      <c r="E8" s="27">
        <v>0</v>
      </c>
      <c r="F8" s="27"/>
      <c r="G8" s="27">
        <v>0</v>
      </c>
      <c r="H8" s="27"/>
      <c r="I8" s="27">
        <v>0</v>
      </c>
      <c r="J8" s="27"/>
      <c r="K8" s="27">
        <v>0</v>
      </c>
      <c r="L8" s="27"/>
      <c r="M8" s="27">
        <v>0</v>
      </c>
      <c r="N8" s="56"/>
      <c r="O8" s="56">
        <f>Q8-C8-E8-G8-I8-K8-M8</f>
        <v>0</v>
      </c>
      <c r="P8" s="56"/>
      <c r="Q8" s="27">
        <v>0</v>
      </c>
      <c r="R8" s="25"/>
      <c r="S8" s="27">
        <v>0</v>
      </c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</row>
    <row r="9" spans="1:255" ht="12.75">
      <c r="A9" s="14" t="s">
        <v>13</v>
      </c>
      <c r="B9" s="14"/>
      <c r="C9" s="27">
        <v>12441715</v>
      </c>
      <c r="D9" s="27"/>
      <c r="E9" s="27">
        <v>14458612</v>
      </c>
      <c r="F9" s="27"/>
      <c r="G9" s="27">
        <v>0</v>
      </c>
      <c r="H9" s="27"/>
      <c r="I9" s="27">
        <v>7971588</v>
      </c>
      <c r="J9" s="27"/>
      <c r="K9" s="27">
        <v>33560545</v>
      </c>
      <c r="L9" s="27"/>
      <c r="M9" s="27">
        <v>1325222</v>
      </c>
      <c r="N9" s="56"/>
      <c r="O9" s="56">
        <f>Q9-C9-E9-G9-I9-K9-M9</f>
        <v>10750403</v>
      </c>
      <c r="P9" s="56"/>
      <c r="Q9" s="27">
        <v>80508085</v>
      </c>
      <c r="R9" s="25"/>
      <c r="S9" s="27">
        <f>7855287+189869+2049074</f>
        <v>10094230</v>
      </c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</row>
    <row r="10" spans="1:255" ht="12.75">
      <c r="A10" s="14" t="s">
        <v>14</v>
      </c>
      <c r="B10" s="14"/>
      <c r="C10" s="13">
        <v>6494985</v>
      </c>
      <c r="D10" s="13"/>
      <c r="E10" s="13">
        <v>6152037</v>
      </c>
      <c r="F10" s="13"/>
      <c r="G10" s="13">
        <v>174531</v>
      </c>
      <c r="H10" s="13"/>
      <c r="I10" s="13">
        <v>3400313</v>
      </c>
      <c r="J10" s="13"/>
      <c r="K10" s="13">
        <v>18021363</v>
      </c>
      <c r="L10" s="13"/>
      <c r="M10" s="13">
        <v>0</v>
      </c>
      <c r="N10" s="24"/>
      <c r="O10" s="24">
        <f aca="true" t="shared" si="0" ref="O10:O26">Q10-C10-E10-G10-I10-K10-M10</f>
        <v>2586680</v>
      </c>
      <c r="P10" s="24"/>
      <c r="Q10" s="13">
        <v>36829909</v>
      </c>
      <c r="R10" s="25"/>
      <c r="S10" s="13">
        <f>45000+1536050</f>
        <v>1581050</v>
      </c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</row>
    <row r="11" spans="1:255" ht="12.75">
      <c r="A11" s="14" t="s">
        <v>15</v>
      </c>
      <c r="B11" s="14"/>
      <c r="C11" s="13">
        <f>16802397</f>
        <v>16802397</v>
      </c>
      <c r="D11" s="13"/>
      <c r="E11" s="13">
        <v>8784820</v>
      </c>
      <c r="F11" s="13"/>
      <c r="G11" s="13">
        <v>0</v>
      </c>
      <c r="H11" s="13"/>
      <c r="I11" s="13">
        <v>10979547</v>
      </c>
      <c r="J11" s="13"/>
      <c r="K11" s="13">
        <v>60734382</v>
      </c>
      <c r="L11" s="13"/>
      <c r="M11" s="13">
        <v>200785</v>
      </c>
      <c r="N11" s="24"/>
      <c r="O11" s="24">
        <f t="shared" si="0"/>
        <v>4660238</v>
      </c>
      <c r="P11" s="24"/>
      <c r="Q11" s="13">
        <v>102162169</v>
      </c>
      <c r="R11" s="25"/>
      <c r="S11" s="13">
        <f>336870+19806+4408526</f>
        <v>4765202</v>
      </c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</row>
    <row r="12" spans="1:255" ht="12.75">
      <c r="A12" s="14" t="s">
        <v>16</v>
      </c>
      <c r="B12" s="14"/>
      <c r="C12" s="13">
        <v>11306421</v>
      </c>
      <c r="D12" s="13"/>
      <c r="E12" s="13">
        <v>5995215</v>
      </c>
      <c r="F12" s="13"/>
      <c r="G12" s="13">
        <v>0</v>
      </c>
      <c r="H12" s="13"/>
      <c r="I12" s="13">
        <v>4612767</v>
      </c>
      <c r="J12" s="13"/>
      <c r="K12" s="13">
        <v>28406355</v>
      </c>
      <c r="L12" s="13"/>
      <c r="M12" s="13">
        <v>0</v>
      </c>
      <c r="N12" s="24"/>
      <c r="O12" s="24">
        <f t="shared" si="0"/>
        <v>3144434</v>
      </c>
      <c r="P12" s="24"/>
      <c r="Q12" s="13">
        <v>53465192</v>
      </c>
      <c r="R12" s="25"/>
      <c r="S12" s="13">
        <f>2301400+1650378</f>
        <v>3951778</v>
      </c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</row>
    <row r="13" spans="1:255" ht="12.75">
      <c r="A13" s="14" t="s">
        <v>17</v>
      </c>
      <c r="B13" s="14"/>
      <c r="C13" s="13">
        <v>6359358</v>
      </c>
      <c r="D13" s="13"/>
      <c r="E13" s="13">
        <v>7333280</v>
      </c>
      <c r="F13" s="13"/>
      <c r="G13" s="13">
        <v>0</v>
      </c>
      <c r="H13" s="13"/>
      <c r="I13" s="13">
        <v>2821643</v>
      </c>
      <c r="J13" s="13"/>
      <c r="K13" s="13">
        <v>11251114</v>
      </c>
      <c r="L13" s="13"/>
      <c r="M13" s="13">
        <v>611084</v>
      </c>
      <c r="N13" s="24"/>
      <c r="O13" s="24">
        <f t="shared" si="0"/>
        <v>2002240</v>
      </c>
      <c r="P13" s="24"/>
      <c r="Q13" s="13">
        <v>30378719</v>
      </c>
      <c r="R13" s="25"/>
      <c r="S13" s="13">
        <f>9681+779036+790243</f>
        <v>1578960</v>
      </c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</row>
    <row r="14" spans="1:255" ht="12.75">
      <c r="A14" s="14" t="s">
        <v>18</v>
      </c>
      <c r="B14" s="14"/>
      <c r="C14" s="13">
        <v>9137453</v>
      </c>
      <c r="D14" s="13"/>
      <c r="E14" s="13">
        <v>11556530</v>
      </c>
      <c r="F14" s="13"/>
      <c r="G14" s="13">
        <v>0</v>
      </c>
      <c r="H14" s="13"/>
      <c r="I14" s="13">
        <v>5908482</v>
      </c>
      <c r="J14" s="13"/>
      <c r="K14" s="13">
        <v>31703262</v>
      </c>
      <c r="L14" s="13"/>
      <c r="M14" s="13">
        <v>0</v>
      </c>
      <c r="N14" s="24"/>
      <c r="O14" s="24">
        <f t="shared" si="0"/>
        <v>4666208</v>
      </c>
      <c r="P14" s="24"/>
      <c r="Q14" s="13">
        <v>62971935</v>
      </c>
      <c r="R14" s="25"/>
      <c r="S14" s="13">
        <f>2000000+4700000+1705000+185685+28783+4727298</f>
        <v>13346766</v>
      </c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</row>
    <row r="15" spans="1:255" ht="12.75" hidden="1">
      <c r="A15" s="14" t="s">
        <v>254</v>
      </c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4"/>
      <c r="O15" s="24">
        <f t="shared" si="0"/>
        <v>0</v>
      </c>
      <c r="P15" s="24"/>
      <c r="Q15" s="13"/>
      <c r="R15" s="25"/>
      <c r="S15" s="13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</row>
    <row r="16" spans="1:255" ht="12.75">
      <c r="A16" s="14" t="s">
        <v>19</v>
      </c>
      <c r="B16" s="14"/>
      <c r="C16" s="13">
        <v>63587785</v>
      </c>
      <c r="D16" s="13"/>
      <c r="E16" s="13">
        <v>40557333</v>
      </c>
      <c r="F16" s="13"/>
      <c r="G16" s="13">
        <v>0</v>
      </c>
      <c r="H16" s="13"/>
      <c r="I16" s="13">
        <v>50623535</v>
      </c>
      <c r="J16" s="13"/>
      <c r="K16" s="13">
        <v>115942192</v>
      </c>
      <c r="L16" s="13"/>
      <c r="M16" s="13">
        <v>4769460</v>
      </c>
      <c r="N16" s="24"/>
      <c r="O16" s="24">
        <f t="shared" si="0"/>
        <v>15862710</v>
      </c>
      <c r="P16" s="24"/>
      <c r="Q16" s="13">
        <v>291343015</v>
      </c>
      <c r="R16" s="25"/>
      <c r="S16" s="13">
        <f>17500000+578718+83878+7928785</f>
        <v>26091381</v>
      </c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</row>
    <row r="17" spans="1:255" ht="12.75">
      <c r="A17" s="14" t="s">
        <v>20</v>
      </c>
      <c r="B17" s="14"/>
      <c r="C17" s="13">
        <v>4362356</v>
      </c>
      <c r="D17" s="13"/>
      <c r="E17" s="13">
        <v>1603847</v>
      </c>
      <c r="F17" s="13"/>
      <c r="G17" s="13">
        <v>0</v>
      </c>
      <c r="H17" s="13"/>
      <c r="I17" s="13">
        <v>2577873</v>
      </c>
      <c r="J17" s="13"/>
      <c r="K17" s="13">
        <v>12305150</v>
      </c>
      <c r="L17" s="13"/>
      <c r="M17" s="13">
        <v>9110</v>
      </c>
      <c r="N17" s="24"/>
      <c r="O17" s="24">
        <f t="shared" si="0"/>
        <v>2147343</v>
      </c>
      <c r="P17" s="24"/>
      <c r="Q17" s="13">
        <v>23005679</v>
      </c>
      <c r="R17" s="25"/>
      <c r="S17" s="13">
        <f>112948+70683</f>
        <v>183631</v>
      </c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</row>
    <row r="18" spans="1:255" ht="12.75" hidden="1">
      <c r="A18" s="4" t="s">
        <v>173</v>
      </c>
      <c r="B18" s="4"/>
      <c r="C18" s="13">
        <v>0</v>
      </c>
      <c r="D18" s="13"/>
      <c r="E18" s="13">
        <v>0</v>
      </c>
      <c r="F18" s="13"/>
      <c r="G18" s="13">
        <v>0</v>
      </c>
      <c r="H18" s="13"/>
      <c r="I18" s="13">
        <v>0</v>
      </c>
      <c r="J18" s="13"/>
      <c r="K18" s="13">
        <v>0</v>
      </c>
      <c r="L18" s="13"/>
      <c r="M18" s="13">
        <v>0</v>
      </c>
      <c r="N18" s="24"/>
      <c r="O18" s="24">
        <f t="shared" si="0"/>
        <v>0</v>
      </c>
      <c r="P18" s="24"/>
      <c r="Q18" s="13">
        <v>0</v>
      </c>
      <c r="R18" s="25"/>
      <c r="S18" s="13">
        <v>0</v>
      </c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</row>
    <row r="19" spans="1:255" ht="12.75">
      <c r="A19" s="14" t="s">
        <v>21</v>
      </c>
      <c r="B19" s="14"/>
      <c r="C19" s="13">
        <v>19403937</v>
      </c>
      <c r="D19" s="13"/>
      <c r="E19" s="13">
        <v>18820858</v>
      </c>
      <c r="F19" s="13"/>
      <c r="G19" s="13">
        <v>0</v>
      </c>
      <c r="H19" s="13"/>
      <c r="I19" s="13">
        <v>18246636</v>
      </c>
      <c r="J19" s="13"/>
      <c r="K19" s="13">
        <v>59145332</v>
      </c>
      <c r="L19" s="13"/>
      <c r="M19" s="13">
        <v>49277</v>
      </c>
      <c r="N19" s="24"/>
      <c r="O19" s="24">
        <f t="shared" si="0"/>
        <v>8258372</v>
      </c>
      <c r="P19" s="24"/>
      <c r="Q19" s="13">
        <v>123924412</v>
      </c>
      <c r="R19" s="25"/>
      <c r="S19" s="13">
        <f>18584+544433+23738423</f>
        <v>24301440</v>
      </c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</row>
    <row r="20" spans="1:255" ht="12.75">
      <c r="A20" s="14" t="s">
        <v>184</v>
      </c>
      <c r="B20" s="14"/>
      <c r="C20" s="13">
        <v>41796624</v>
      </c>
      <c r="D20" s="13"/>
      <c r="E20" s="13">
        <v>0</v>
      </c>
      <c r="F20" s="13"/>
      <c r="G20" s="13">
        <v>0</v>
      </c>
      <c r="H20" s="13"/>
      <c r="I20" s="13">
        <v>19208964</v>
      </c>
      <c r="J20" s="13"/>
      <c r="K20" s="13">
        <v>47719373</v>
      </c>
      <c r="L20" s="13"/>
      <c r="M20" s="13">
        <v>1242515</v>
      </c>
      <c r="N20" s="24"/>
      <c r="O20" s="24">
        <f t="shared" si="0"/>
        <v>11913565</v>
      </c>
      <c r="P20" s="24"/>
      <c r="Q20" s="13">
        <v>121881041</v>
      </c>
      <c r="R20" s="25"/>
      <c r="S20" s="13">
        <f>7800350+1020540+1001305+680000</f>
        <v>10502195</v>
      </c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</row>
    <row r="21" spans="1:255" ht="12.75">
      <c r="A21" s="14" t="s">
        <v>22</v>
      </c>
      <c r="B21" s="14"/>
      <c r="C21" s="13">
        <v>5910831</v>
      </c>
      <c r="D21" s="13"/>
      <c r="E21" s="13">
        <v>7701525</v>
      </c>
      <c r="F21" s="13"/>
      <c r="G21" s="13">
        <v>0</v>
      </c>
      <c r="H21" s="13"/>
      <c r="I21" s="13">
        <v>3208832</v>
      </c>
      <c r="J21" s="13"/>
      <c r="K21" s="13">
        <v>16928983</v>
      </c>
      <c r="L21" s="13"/>
      <c r="M21" s="13">
        <v>140647</v>
      </c>
      <c r="N21" s="24"/>
      <c r="O21" s="24">
        <f t="shared" si="0"/>
        <v>3428483</v>
      </c>
      <c r="P21" s="24"/>
      <c r="Q21" s="13">
        <v>37319301</v>
      </c>
      <c r="R21" s="25"/>
      <c r="S21" s="13">
        <f>4670+85000+33843+9191518+180465+1793552+126690</f>
        <v>11415738</v>
      </c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</row>
    <row r="22" spans="1:255" ht="12.75" hidden="1">
      <c r="A22" s="14" t="s">
        <v>23</v>
      </c>
      <c r="B22" s="14"/>
      <c r="C22" s="13">
        <v>0</v>
      </c>
      <c r="D22" s="13"/>
      <c r="E22" s="13">
        <v>0</v>
      </c>
      <c r="F22" s="13"/>
      <c r="G22" s="13">
        <v>0</v>
      </c>
      <c r="H22" s="13"/>
      <c r="I22" s="13">
        <v>0</v>
      </c>
      <c r="J22" s="13"/>
      <c r="K22" s="13">
        <v>0</v>
      </c>
      <c r="L22" s="13"/>
      <c r="M22" s="13">
        <v>0</v>
      </c>
      <c r="N22" s="24"/>
      <c r="O22" s="24">
        <f t="shared" si="0"/>
        <v>0</v>
      </c>
      <c r="P22" s="24"/>
      <c r="Q22" s="13">
        <v>0</v>
      </c>
      <c r="R22" s="25"/>
      <c r="S22" s="13">
        <v>0</v>
      </c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</row>
    <row r="23" spans="1:255" ht="12.75">
      <c r="A23" s="14" t="s">
        <v>24</v>
      </c>
      <c r="B23" s="14"/>
      <c r="C23" s="13">
        <v>5895380</v>
      </c>
      <c r="D23" s="13"/>
      <c r="E23" s="13">
        <v>4061923</v>
      </c>
      <c r="F23" s="13"/>
      <c r="G23" s="13">
        <v>0</v>
      </c>
      <c r="H23" s="13"/>
      <c r="I23" s="13">
        <v>2319825</v>
      </c>
      <c r="J23" s="13"/>
      <c r="K23" s="13">
        <v>18686987</v>
      </c>
      <c r="L23" s="13"/>
      <c r="M23" s="13">
        <v>0</v>
      </c>
      <c r="N23" s="24"/>
      <c r="O23" s="24">
        <f t="shared" si="0"/>
        <v>1813362</v>
      </c>
      <c r="P23" s="24"/>
      <c r="Q23" s="13">
        <v>32777477</v>
      </c>
      <c r="R23" s="25"/>
      <c r="S23" s="13">
        <f>128586+451985</f>
        <v>580571</v>
      </c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</row>
    <row r="24" spans="1:255" ht="12.75">
      <c r="A24" s="14" t="s">
        <v>257</v>
      </c>
      <c r="B24" s="14"/>
      <c r="C24" s="13">
        <v>4966835</v>
      </c>
      <c r="D24" s="13"/>
      <c r="E24" s="13">
        <v>4886663</v>
      </c>
      <c r="F24" s="13"/>
      <c r="G24" s="13">
        <v>0</v>
      </c>
      <c r="H24" s="13"/>
      <c r="I24" s="13">
        <v>6799530</v>
      </c>
      <c r="J24" s="13"/>
      <c r="K24" s="13">
        <v>14981997</v>
      </c>
      <c r="L24" s="13"/>
      <c r="M24" s="13">
        <v>141997</v>
      </c>
      <c r="N24" s="24"/>
      <c r="O24" s="24">
        <f t="shared" si="0"/>
        <v>2393743</v>
      </c>
      <c r="P24" s="24"/>
      <c r="Q24" s="13">
        <v>34170765</v>
      </c>
      <c r="R24" s="25"/>
      <c r="S24" s="13">
        <v>1965062</v>
      </c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</row>
    <row r="25" spans="1:255" ht="12.75">
      <c r="A25" s="14" t="s">
        <v>25</v>
      </c>
      <c r="B25" s="14"/>
      <c r="C25" s="13">
        <v>337783000</v>
      </c>
      <c r="D25" s="13"/>
      <c r="E25" s="13">
        <v>169300000</v>
      </c>
      <c r="F25" s="13"/>
      <c r="G25" s="13">
        <v>28615000</v>
      </c>
      <c r="H25" s="13"/>
      <c r="I25" s="13">
        <v>91527000</v>
      </c>
      <c r="J25" s="13"/>
      <c r="K25" s="13">
        <f>38563000+695878000</f>
        <v>734441000</v>
      </c>
      <c r="L25" s="13"/>
      <c r="M25" s="13">
        <v>0</v>
      </c>
      <c r="N25" s="24"/>
      <c r="O25" s="24">
        <f t="shared" si="0"/>
        <v>59005000</v>
      </c>
      <c r="P25" s="24"/>
      <c r="Q25" s="13">
        <v>1420671000</v>
      </c>
      <c r="R25" s="25"/>
      <c r="S25" s="13">
        <f>192263000+7342000</f>
        <v>199605000</v>
      </c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</row>
    <row r="26" spans="1:255" ht="12.75">
      <c r="A26" s="14" t="s">
        <v>26</v>
      </c>
      <c r="B26" s="14"/>
      <c r="C26" s="13">
        <v>11947414</v>
      </c>
      <c r="D26" s="13"/>
      <c r="E26" s="13">
        <v>0</v>
      </c>
      <c r="F26" s="13"/>
      <c r="G26" s="13">
        <v>0</v>
      </c>
      <c r="H26" s="13"/>
      <c r="I26" s="13">
        <v>3749600</v>
      </c>
      <c r="J26" s="13"/>
      <c r="K26" s="13">
        <v>15331496</v>
      </c>
      <c r="L26" s="13"/>
      <c r="M26" s="13">
        <v>98858</v>
      </c>
      <c r="N26" s="24"/>
      <c r="O26" s="24">
        <f t="shared" si="0"/>
        <v>2940946</v>
      </c>
      <c r="P26" s="24"/>
      <c r="Q26" s="13">
        <v>34068314</v>
      </c>
      <c r="R26" s="25"/>
      <c r="S26" s="13">
        <f>13416+4719737</f>
        <v>4733153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</row>
    <row r="27" spans="1:255" ht="12.75">
      <c r="A27" s="14" t="s">
        <v>27</v>
      </c>
      <c r="B27" s="14"/>
      <c r="C27" s="13">
        <v>5329131</v>
      </c>
      <c r="D27" s="13"/>
      <c r="E27" s="13">
        <v>4537722</v>
      </c>
      <c r="F27" s="13"/>
      <c r="G27" s="13">
        <v>0</v>
      </c>
      <c r="H27" s="13"/>
      <c r="I27" s="13">
        <v>4010126</v>
      </c>
      <c r="J27" s="13"/>
      <c r="K27" s="13">
        <v>16615769</v>
      </c>
      <c r="L27" s="13"/>
      <c r="M27" s="13">
        <v>562293</v>
      </c>
      <c r="N27" s="24"/>
      <c r="O27" s="24">
        <f aca="true" t="shared" si="1" ref="O27:O75">Q27-C27-E27-G27-I27-K27-M27</f>
        <v>5389632</v>
      </c>
      <c r="P27" s="24"/>
      <c r="Q27" s="13">
        <v>36444673</v>
      </c>
      <c r="R27" s="25"/>
      <c r="S27" s="13">
        <f>14+259260+5116269</f>
        <v>5375543</v>
      </c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</row>
    <row r="28" spans="1:255" ht="12.75">
      <c r="A28" s="14" t="s">
        <v>28</v>
      </c>
      <c r="B28" s="14"/>
      <c r="C28" s="13">
        <v>17081838</v>
      </c>
      <c r="D28" s="13"/>
      <c r="E28" s="13">
        <v>33762217</v>
      </c>
      <c r="F28" s="13"/>
      <c r="G28" s="13">
        <v>62360</v>
      </c>
      <c r="H28" s="13"/>
      <c r="I28" s="13">
        <v>17521065</v>
      </c>
      <c r="J28" s="13"/>
      <c r="K28" s="13">
        <v>25825557</v>
      </c>
      <c r="L28" s="13"/>
      <c r="M28" s="13">
        <v>923456</v>
      </c>
      <c r="N28" s="24"/>
      <c r="O28" s="24">
        <f t="shared" si="1"/>
        <v>12057626</v>
      </c>
      <c r="P28" s="24"/>
      <c r="Q28" s="13">
        <v>107234119</v>
      </c>
      <c r="R28" s="25"/>
      <c r="S28" s="13">
        <f>13460+9534494</f>
        <v>9547954</v>
      </c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</row>
    <row r="29" spans="1:255" ht="12.75">
      <c r="A29" s="14" t="s">
        <v>29</v>
      </c>
      <c r="B29" s="14"/>
      <c r="C29" s="13">
        <v>11047974</v>
      </c>
      <c r="D29" s="13"/>
      <c r="E29" s="13">
        <v>14061737</v>
      </c>
      <c r="F29" s="13"/>
      <c r="G29" s="13">
        <v>0</v>
      </c>
      <c r="H29" s="13"/>
      <c r="I29" s="13">
        <v>4259243</v>
      </c>
      <c r="J29" s="13"/>
      <c r="K29" s="13">
        <v>27260139</v>
      </c>
      <c r="L29" s="13"/>
      <c r="M29" s="13">
        <v>652788</v>
      </c>
      <c r="N29" s="24"/>
      <c r="O29" s="24">
        <f t="shared" si="1"/>
        <v>7441050</v>
      </c>
      <c r="P29" s="24"/>
      <c r="Q29" s="13">
        <v>64722931</v>
      </c>
      <c r="R29" s="25"/>
      <c r="S29" s="13">
        <f>55525+13675000+28799+46770+4114761</f>
        <v>17920855</v>
      </c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</row>
    <row r="30" spans="1:255" ht="12.75">
      <c r="A30" s="14" t="s">
        <v>30</v>
      </c>
      <c r="B30" s="14"/>
      <c r="C30" s="13">
        <v>19235471</v>
      </c>
      <c r="D30" s="13"/>
      <c r="E30" s="13">
        <v>11011732</v>
      </c>
      <c r="F30" s="13"/>
      <c r="G30" s="13">
        <f>2244349+157635</f>
        <v>2401984</v>
      </c>
      <c r="H30" s="13"/>
      <c r="I30" s="13">
        <v>12904506</v>
      </c>
      <c r="J30" s="13"/>
      <c r="K30" s="13">
        <v>43917447</v>
      </c>
      <c r="L30" s="13"/>
      <c r="M30" s="13">
        <v>455333</v>
      </c>
      <c r="N30" s="24"/>
      <c r="O30" s="24">
        <f t="shared" si="1"/>
        <v>6667723</v>
      </c>
      <c r="P30" s="24"/>
      <c r="Q30" s="13">
        <v>96594196</v>
      </c>
      <c r="R30" s="25"/>
      <c r="S30" s="13">
        <f>109594+850655+1000000+6538792</f>
        <v>8499041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</row>
    <row r="31" spans="1:255" ht="12.75" hidden="1">
      <c r="A31" s="14" t="s">
        <v>253</v>
      </c>
      <c r="B31" s="14"/>
      <c r="C31" s="13">
        <v>0</v>
      </c>
      <c r="D31" s="13"/>
      <c r="E31" s="13">
        <v>0</v>
      </c>
      <c r="F31" s="13"/>
      <c r="G31" s="13">
        <v>0</v>
      </c>
      <c r="H31" s="13"/>
      <c r="I31" s="13">
        <v>0</v>
      </c>
      <c r="J31" s="13"/>
      <c r="K31" s="13">
        <v>0</v>
      </c>
      <c r="L31" s="13"/>
      <c r="M31" s="13">
        <v>0</v>
      </c>
      <c r="N31" s="24"/>
      <c r="O31" s="24">
        <f>Q31-C31-E31-G31-I31-K31-M31</f>
        <v>0</v>
      </c>
      <c r="P31" s="24"/>
      <c r="Q31" s="13">
        <v>0</v>
      </c>
      <c r="R31" s="25"/>
      <c r="S31" s="13">
        <v>0</v>
      </c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</row>
    <row r="32" spans="1:255" ht="12.75">
      <c r="A32" s="14" t="s">
        <v>32</v>
      </c>
      <c r="B32" s="14"/>
      <c r="C32" s="13">
        <v>365863000</v>
      </c>
      <c r="D32" s="13"/>
      <c r="E32" s="13">
        <v>172866000</v>
      </c>
      <c r="F32" s="13"/>
      <c r="G32" s="13">
        <v>0</v>
      </c>
      <c r="H32" s="13"/>
      <c r="I32" s="13">
        <v>85914000</v>
      </c>
      <c r="J32" s="13"/>
      <c r="K32" s="13">
        <v>444850000</v>
      </c>
      <c r="L32" s="13"/>
      <c r="M32" s="13">
        <v>0</v>
      </c>
      <c r="N32" s="24"/>
      <c r="O32" s="24">
        <f t="shared" si="1"/>
        <v>68726000</v>
      </c>
      <c r="P32" s="24"/>
      <c r="Q32" s="13">
        <v>1138219000</v>
      </c>
      <c r="R32" s="25"/>
      <c r="S32" s="13">
        <f>28532000+1300000+168000+613000</f>
        <v>30613000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</row>
    <row r="33" spans="1:255" ht="12.75">
      <c r="A33" s="14" t="s">
        <v>33</v>
      </c>
      <c r="B33" s="14"/>
      <c r="C33" s="13">
        <v>7753555</v>
      </c>
      <c r="D33" s="13"/>
      <c r="E33" s="13">
        <v>4599028</v>
      </c>
      <c r="F33" s="13"/>
      <c r="G33" s="13">
        <v>0</v>
      </c>
      <c r="H33" s="13"/>
      <c r="I33" s="13">
        <v>4575199</v>
      </c>
      <c r="J33" s="13"/>
      <c r="K33" s="13">
        <v>13597810</v>
      </c>
      <c r="L33" s="13"/>
      <c r="M33" s="13">
        <v>466625</v>
      </c>
      <c r="N33" s="24"/>
      <c r="O33" s="24">
        <f t="shared" si="1"/>
        <v>2704879</v>
      </c>
      <c r="P33" s="24"/>
      <c r="Q33" s="13">
        <v>33697096</v>
      </c>
      <c r="R33" s="25"/>
      <c r="S33" s="13">
        <f>94039+204919+537553</f>
        <v>836511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</row>
    <row r="34" spans="1:255" ht="12.75">
      <c r="A34" s="14" t="s">
        <v>34</v>
      </c>
      <c r="B34" s="14"/>
      <c r="C34" s="13">
        <v>2809557</v>
      </c>
      <c r="D34" s="13"/>
      <c r="E34" s="13">
        <v>3873943</v>
      </c>
      <c r="F34" s="13"/>
      <c r="G34" s="13">
        <v>0</v>
      </c>
      <c r="H34" s="13"/>
      <c r="I34" s="13">
        <v>3035699</v>
      </c>
      <c r="J34" s="13"/>
      <c r="K34" s="13">
        <v>18291730</v>
      </c>
      <c r="L34" s="13"/>
      <c r="M34" s="13">
        <v>0</v>
      </c>
      <c r="N34" s="24"/>
      <c r="O34" s="24">
        <f t="shared" si="1"/>
        <v>1419326</v>
      </c>
      <c r="P34" s="24"/>
      <c r="Q34" s="13">
        <v>29430255</v>
      </c>
      <c r="R34" s="25"/>
      <c r="S34" s="13">
        <f>1606951+1146446+10511</f>
        <v>2763908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</row>
    <row r="35" spans="1:255" ht="12.75">
      <c r="A35" s="14" t="s">
        <v>35</v>
      </c>
      <c r="B35" s="14"/>
      <c r="C35" s="13">
        <v>25491856</v>
      </c>
      <c r="D35" s="13"/>
      <c r="E35" s="13">
        <v>10910061</v>
      </c>
      <c r="F35" s="13"/>
      <c r="G35" s="13">
        <v>502844</v>
      </c>
      <c r="H35" s="13"/>
      <c r="I35" s="13">
        <v>6930138</v>
      </c>
      <c r="J35" s="13"/>
      <c r="K35" s="13">
        <v>34816327</v>
      </c>
      <c r="L35" s="13"/>
      <c r="M35" s="13">
        <v>402106</v>
      </c>
      <c r="N35" s="24"/>
      <c r="O35" s="24">
        <f t="shared" si="1"/>
        <v>6297087</v>
      </c>
      <c r="P35" s="24"/>
      <c r="Q35" s="13">
        <v>85350419</v>
      </c>
      <c r="R35" s="25"/>
      <c r="S35" s="13">
        <f>400000+10827584+56453</f>
        <v>11284037</v>
      </c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</row>
    <row r="36" spans="1:255" ht="12.75">
      <c r="A36" s="14" t="s">
        <v>185</v>
      </c>
      <c r="B36" s="14"/>
      <c r="C36" s="13">
        <v>51316544</v>
      </c>
      <c r="D36" s="13"/>
      <c r="E36" s="13">
        <v>0</v>
      </c>
      <c r="F36" s="13"/>
      <c r="G36" s="13">
        <v>0</v>
      </c>
      <c r="H36" s="13"/>
      <c r="I36" s="13">
        <v>16795754</v>
      </c>
      <c r="J36" s="13"/>
      <c r="K36" s="13">
        <v>37199680</v>
      </c>
      <c r="L36" s="13"/>
      <c r="M36" s="13">
        <v>134274</v>
      </c>
      <c r="N36" s="24"/>
      <c r="O36" s="24">
        <f t="shared" si="1"/>
        <v>12292231</v>
      </c>
      <c r="P36" s="24"/>
      <c r="Q36" s="13">
        <v>117738483</v>
      </c>
      <c r="R36" s="25"/>
      <c r="S36" s="13">
        <f>34909+1050000+2481603</f>
        <v>3566512</v>
      </c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</row>
    <row r="37" spans="1:255" ht="12.75" hidden="1">
      <c r="A37" s="14" t="s">
        <v>258</v>
      </c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4"/>
      <c r="O37" s="24">
        <f t="shared" si="1"/>
        <v>0</v>
      </c>
      <c r="P37" s="24"/>
      <c r="Q37" s="13"/>
      <c r="R37" s="25"/>
      <c r="S37" s="13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</row>
    <row r="38" spans="1:255" ht="12.75" hidden="1">
      <c r="A38" s="14" t="s">
        <v>259</v>
      </c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4"/>
      <c r="O38" s="24">
        <f t="shared" si="1"/>
        <v>0</v>
      </c>
      <c r="P38" s="24"/>
      <c r="Q38" s="13"/>
      <c r="R38" s="25"/>
      <c r="S38" s="13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</row>
    <row r="39" spans="1:255" ht="12.75">
      <c r="A39" s="14" t="s">
        <v>38</v>
      </c>
      <c r="B39" s="14"/>
      <c r="C39" s="13">
        <v>10263899</v>
      </c>
      <c r="D39" s="13"/>
      <c r="E39" s="13">
        <v>5393549</v>
      </c>
      <c r="F39" s="13"/>
      <c r="G39" s="13">
        <f>1279749+158259</f>
        <v>1438008</v>
      </c>
      <c r="H39" s="13"/>
      <c r="I39" s="13">
        <v>7521117</v>
      </c>
      <c r="J39" s="13"/>
      <c r="K39" s="13">
        <v>1365746</v>
      </c>
      <c r="L39" s="13"/>
      <c r="M39" s="13">
        <v>7521117</v>
      </c>
      <c r="N39" s="24"/>
      <c r="O39" s="24">
        <f t="shared" si="1"/>
        <v>24071834</v>
      </c>
      <c r="P39" s="24"/>
      <c r="Q39" s="13">
        <v>57575270</v>
      </c>
      <c r="R39" s="25"/>
      <c r="S39" s="13">
        <v>1585677</v>
      </c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</row>
    <row r="40" spans="1:255" ht="12.75" hidden="1">
      <c r="A40" s="14" t="s">
        <v>168</v>
      </c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4"/>
      <c r="O40" s="24">
        <f t="shared" si="1"/>
        <v>0</v>
      </c>
      <c r="P40" s="24"/>
      <c r="Q40" s="13"/>
      <c r="R40" s="25"/>
      <c r="S40" s="13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</row>
    <row r="41" spans="1:19" ht="12.75" hidden="1">
      <c r="A41" s="14" t="s">
        <v>39</v>
      </c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4"/>
      <c r="O41" s="24">
        <f t="shared" si="1"/>
        <v>0</v>
      </c>
      <c r="P41" s="24"/>
      <c r="Q41" s="13"/>
      <c r="R41" s="25"/>
      <c r="S41" s="13"/>
    </row>
    <row r="42" spans="1:19" ht="12.75">
      <c r="A42" s="14" t="s">
        <v>40</v>
      </c>
      <c r="B42" s="14"/>
      <c r="C42" s="13">
        <v>6441555</v>
      </c>
      <c r="D42" s="13"/>
      <c r="E42" s="13">
        <v>5602429</v>
      </c>
      <c r="F42" s="13"/>
      <c r="G42" s="13">
        <v>0</v>
      </c>
      <c r="H42" s="13"/>
      <c r="I42" s="13">
        <v>3784592</v>
      </c>
      <c r="J42" s="13"/>
      <c r="K42" s="13">
        <v>8911820</v>
      </c>
      <c r="L42" s="13"/>
      <c r="M42" s="13">
        <v>208669</v>
      </c>
      <c r="N42" s="24"/>
      <c r="O42" s="24">
        <f t="shared" si="1"/>
        <v>2351786</v>
      </c>
      <c r="P42" s="24"/>
      <c r="Q42" s="13">
        <v>27300851</v>
      </c>
      <c r="R42" s="25"/>
      <c r="S42" s="13">
        <f>3305000+17570+1504602+1038927</f>
        <v>5866099</v>
      </c>
    </row>
    <row r="43" spans="1:19" ht="12.75" hidden="1">
      <c r="A43" s="14" t="s">
        <v>41</v>
      </c>
      <c r="B43" s="14"/>
      <c r="C43" s="13">
        <v>0</v>
      </c>
      <c r="D43" s="13"/>
      <c r="E43" s="13">
        <v>0</v>
      </c>
      <c r="F43" s="13"/>
      <c r="G43" s="13">
        <v>0</v>
      </c>
      <c r="H43" s="13"/>
      <c r="I43" s="13">
        <v>0</v>
      </c>
      <c r="J43" s="13"/>
      <c r="K43" s="13">
        <v>0</v>
      </c>
      <c r="L43" s="13"/>
      <c r="M43" s="13">
        <v>0</v>
      </c>
      <c r="N43" s="24"/>
      <c r="O43" s="24">
        <f t="shared" si="1"/>
        <v>0</v>
      </c>
      <c r="P43" s="24"/>
      <c r="Q43" s="13">
        <v>0</v>
      </c>
      <c r="R43" s="25"/>
      <c r="S43" s="13">
        <v>0</v>
      </c>
    </row>
    <row r="44" spans="1:19" ht="12.75">
      <c r="A44" s="14" t="s">
        <v>42</v>
      </c>
      <c r="B44" s="14"/>
      <c r="C44" s="13">
        <v>7610021</v>
      </c>
      <c r="D44" s="13"/>
      <c r="E44" s="13">
        <v>0</v>
      </c>
      <c r="F44" s="13"/>
      <c r="G44" s="13">
        <v>0</v>
      </c>
      <c r="H44" s="13"/>
      <c r="I44" s="13">
        <v>2110925</v>
      </c>
      <c r="J44" s="13"/>
      <c r="K44" s="13">
        <v>12667741</v>
      </c>
      <c r="L44" s="13"/>
      <c r="M44" s="13">
        <v>7725</v>
      </c>
      <c r="N44" s="24"/>
      <c r="O44" s="24">
        <f t="shared" si="1"/>
        <v>1844449</v>
      </c>
      <c r="P44" s="24"/>
      <c r="Q44" s="13">
        <v>24240861</v>
      </c>
      <c r="R44" s="25"/>
      <c r="S44" s="13">
        <f>39681+623671</f>
        <v>663352</v>
      </c>
    </row>
    <row r="45" spans="1:19" ht="12.75">
      <c r="A45" s="14" t="s">
        <v>43</v>
      </c>
      <c r="B45" s="14"/>
      <c r="C45" s="13">
        <v>6217513</v>
      </c>
      <c r="D45" s="13"/>
      <c r="E45" s="13">
        <v>4373863</v>
      </c>
      <c r="F45" s="13"/>
      <c r="G45" s="13">
        <v>0</v>
      </c>
      <c r="H45" s="13"/>
      <c r="I45" s="13">
        <v>4542303</v>
      </c>
      <c r="J45" s="13"/>
      <c r="K45" s="13">
        <v>12231469</v>
      </c>
      <c r="L45" s="13"/>
      <c r="M45" s="13">
        <v>0</v>
      </c>
      <c r="N45" s="24"/>
      <c r="O45" s="24">
        <f t="shared" si="1"/>
        <v>3125087</v>
      </c>
      <c r="P45" s="24"/>
      <c r="Q45" s="13">
        <v>30490235</v>
      </c>
      <c r="R45" s="25"/>
      <c r="S45" s="13">
        <f>1690440+407399</f>
        <v>2097839</v>
      </c>
    </row>
    <row r="46" spans="1:19" ht="12.75">
      <c r="A46" s="14" t="s">
        <v>44</v>
      </c>
      <c r="B46" s="14"/>
      <c r="C46" s="13">
        <v>13501283</v>
      </c>
      <c r="D46" s="13"/>
      <c r="E46" s="13">
        <v>0</v>
      </c>
      <c r="F46" s="13"/>
      <c r="G46" s="13">
        <v>0</v>
      </c>
      <c r="H46" s="13"/>
      <c r="I46" s="13">
        <v>4204046</v>
      </c>
      <c r="J46" s="13"/>
      <c r="K46" s="13">
        <v>22364916</v>
      </c>
      <c r="L46" s="13"/>
      <c r="M46" s="13">
        <v>98789</v>
      </c>
      <c r="N46" s="24"/>
      <c r="O46" s="24">
        <f t="shared" si="1"/>
        <v>3109430</v>
      </c>
      <c r="P46" s="24"/>
      <c r="Q46" s="13">
        <v>43278464</v>
      </c>
      <c r="R46" s="25"/>
      <c r="S46" s="13">
        <f>355000+1728558</f>
        <v>2083558</v>
      </c>
    </row>
    <row r="47" spans="1:19" ht="12.75" hidden="1">
      <c r="A47" s="14" t="s">
        <v>255</v>
      </c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4"/>
      <c r="O47" s="24">
        <f t="shared" si="1"/>
        <v>0</v>
      </c>
      <c r="P47" s="24"/>
      <c r="Q47" s="13"/>
      <c r="R47" s="25"/>
      <c r="S47" s="13"/>
    </row>
    <row r="48" spans="1:19" ht="12.75">
      <c r="A48" s="14" t="s">
        <v>46</v>
      </c>
      <c r="B48" s="14"/>
      <c r="C48" s="13">
        <v>10309508</v>
      </c>
      <c r="D48" s="13"/>
      <c r="E48" s="13">
        <v>9509416</v>
      </c>
      <c r="F48" s="13"/>
      <c r="G48" s="13">
        <v>0</v>
      </c>
      <c r="H48" s="13"/>
      <c r="I48" s="13">
        <v>7816192</v>
      </c>
      <c r="J48" s="13"/>
      <c r="K48" s="13">
        <v>42942084</v>
      </c>
      <c r="L48" s="13"/>
      <c r="M48" s="13">
        <v>0</v>
      </c>
      <c r="N48" s="24"/>
      <c r="O48" s="24">
        <f t="shared" si="1"/>
        <v>3446373</v>
      </c>
      <c r="P48" s="24"/>
      <c r="Q48" s="13">
        <v>74023573</v>
      </c>
      <c r="R48" s="25"/>
      <c r="S48" s="13">
        <f>3647784+331589+584065</f>
        <v>4563438</v>
      </c>
    </row>
    <row r="49" spans="1:19" ht="12.75">
      <c r="A49" s="14" t="s">
        <v>47</v>
      </c>
      <c r="B49" s="14"/>
      <c r="C49" s="13">
        <v>13209994</v>
      </c>
      <c r="D49" s="13"/>
      <c r="E49" s="13">
        <v>0</v>
      </c>
      <c r="F49" s="13"/>
      <c r="G49" s="13">
        <v>0</v>
      </c>
      <c r="H49" s="13"/>
      <c r="I49" s="13">
        <v>3100123</v>
      </c>
      <c r="J49" s="13"/>
      <c r="K49" s="13">
        <v>19807792</v>
      </c>
      <c r="L49" s="13"/>
      <c r="M49" s="13">
        <v>29938</v>
      </c>
      <c r="N49" s="24"/>
      <c r="O49" s="24">
        <f t="shared" si="1"/>
        <v>2929762</v>
      </c>
      <c r="P49" s="24"/>
      <c r="Q49" s="13">
        <v>39077609</v>
      </c>
      <c r="R49" s="25"/>
      <c r="S49" s="13">
        <f>1995279</f>
        <v>1995279</v>
      </c>
    </row>
    <row r="50" spans="1:19" ht="12.75">
      <c r="A50" s="14" t="s">
        <v>48</v>
      </c>
      <c r="B50" s="14"/>
      <c r="C50" s="13">
        <v>48456268</v>
      </c>
      <c r="D50" s="13"/>
      <c r="E50" s="13">
        <v>15469562</v>
      </c>
      <c r="F50" s="13"/>
      <c r="G50" s="13">
        <v>5698084</v>
      </c>
      <c r="H50" s="13"/>
      <c r="I50" s="13">
        <v>15364380</v>
      </c>
      <c r="J50" s="13"/>
      <c r="K50" s="13">
        <v>82900396</v>
      </c>
      <c r="L50" s="13"/>
      <c r="M50" s="13">
        <v>2918382</v>
      </c>
      <c r="N50" s="24"/>
      <c r="O50" s="24">
        <f t="shared" si="1"/>
        <v>20017217</v>
      </c>
      <c r="P50" s="24"/>
      <c r="Q50" s="13">
        <v>190824289</v>
      </c>
      <c r="R50" s="25"/>
      <c r="S50" s="13">
        <f>1265493+100147+16859641</f>
        <v>18225281</v>
      </c>
    </row>
    <row r="51" spans="1:19" ht="12.75" hidden="1">
      <c r="A51" s="14" t="s">
        <v>170</v>
      </c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4"/>
      <c r="O51" s="24">
        <f t="shared" si="1"/>
        <v>0</v>
      </c>
      <c r="P51" s="24"/>
      <c r="Q51" s="13"/>
      <c r="R51" s="25"/>
      <c r="S51" s="13"/>
    </row>
    <row r="52" spans="1:19" ht="12.75">
      <c r="A52" s="14" t="s">
        <v>49</v>
      </c>
      <c r="B52" s="14"/>
      <c r="C52" s="13">
        <v>44607102</v>
      </c>
      <c r="D52" s="13"/>
      <c r="E52" s="13">
        <v>0</v>
      </c>
      <c r="F52" s="13"/>
      <c r="G52" s="13">
        <v>0</v>
      </c>
      <c r="H52" s="13"/>
      <c r="I52" s="13">
        <v>9503654</v>
      </c>
      <c r="J52" s="13"/>
      <c r="K52" s="13">
        <v>41836027</v>
      </c>
      <c r="L52" s="13"/>
      <c r="M52" s="13">
        <v>119838</v>
      </c>
      <c r="N52" s="24"/>
      <c r="O52" s="24">
        <f t="shared" si="1"/>
        <v>7779571</v>
      </c>
      <c r="P52" s="24"/>
      <c r="Q52" s="13">
        <v>103846192</v>
      </c>
      <c r="R52" s="25"/>
      <c r="S52" s="13">
        <f>29731+1930000+6887540</f>
        <v>8847271</v>
      </c>
    </row>
    <row r="53" spans="1:19" ht="12.75">
      <c r="A53" s="14" t="s">
        <v>50</v>
      </c>
      <c r="B53" s="14"/>
      <c r="C53" s="13">
        <v>14024383</v>
      </c>
      <c r="D53" s="13"/>
      <c r="E53" s="13">
        <v>0</v>
      </c>
      <c r="F53" s="13"/>
      <c r="G53" s="13">
        <v>0</v>
      </c>
      <c r="H53" s="13"/>
      <c r="I53" s="13">
        <v>4393703</v>
      </c>
      <c r="J53" s="13"/>
      <c r="K53" s="13">
        <v>19114435</v>
      </c>
      <c r="L53" s="13"/>
      <c r="M53" s="13">
        <v>45425</v>
      </c>
      <c r="N53" s="24"/>
      <c r="O53" s="24">
        <f t="shared" si="1"/>
        <v>3157439</v>
      </c>
      <c r="P53" s="24"/>
      <c r="Q53" s="13">
        <v>40735385</v>
      </c>
      <c r="R53" s="25"/>
      <c r="S53" s="13">
        <f>9500000+3379186</f>
        <v>12879186</v>
      </c>
    </row>
    <row r="54" spans="1:19" ht="12.75">
      <c r="A54" s="14" t="s">
        <v>260</v>
      </c>
      <c r="B54" s="14"/>
      <c r="C54" s="13">
        <v>55001214</v>
      </c>
      <c r="D54" s="13"/>
      <c r="E54" s="13">
        <v>23025723</v>
      </c>
      <c r="F54" s="13"/>
      <c r="G54" s="13">
        <v>0</v>
      </c>
      <c r="H54" s="13"/>
      <c r="I54" s="13">
        <v>14398417</v>
      </c>
      <c r="J54" s="13"/>
      <c r="K54" s="13">
        <v>108983335</v>
      </c>
      <c r="L54" s="13"/>
      <c r="M54" s="13">
        <v>362600</v>
      </c>
      <c r="N54" s="24"/>
      <c r="O54" s="24">
        <f t="shared" si="1"/>
        <v>29905158</v>
      </c>
      <c r="P54" s="24"/>
      <c r="Q54" s="13">
        <v>231676447</v>
      </c>
      <c r="R54" s="25"/>
      <c r="S54" s="13">
        <f>8237383+4220000+114518+2344</f>
        <v>12574245</v>
      </c>
    </row>
    <row r="55" spans="1:19" ht="12.75">
      <c r="A55" s="14" t="s">
        <v>186</v>
      </c>
      <c r="B55" s="14"/>
      <c r="C55" s="13">
        <v>178489000</v>
      </c>
      <c r="D55" s="13"/>
      <c r="E55" s="13">
        <v>0</v>
      </c>
      <c r="F55" s="13"/>
      <c r="G55" s="13">
        <v>0</v>
      </c>
      <c r="H55" s="13"/>
      <c r="I55" s="13">
        <v>29579000</v>
      </c>
      <c r="J55" s="13"/>
      <c r="K55" s="13">
        <v>234084000</v>
      </c>
      <c r="L55" s="13"/>
      <c r="M55" s="13">
        <v>2370000</v>
      </c>
      <c r="N55" s="24"/>
      <c r="O55" s="24">
        <f t="shared" si="1"/>
        <v>32019000</v>
      </c>
      <c r="P55" s="24"/>
      <c r="Q55" s="13">
        <v>476541000</v>
      </c>
      <c r="R55" s="25"/>
      <c r="S55" s="13">
        <f>2892000+500000+23688000</f>
        <v>27080000</v>
      </c>
    </row>
    <row r="56" spans="1:19" ht="12.75" hidden="1">
      <c r="A56" s="14" t="s">
        <v>52</v>
      </c>
      <c r="B56" s="1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24"/>
      <c r="O56" s="24">
        <f t="shared" si="1"/>
        <v>0</v>
      </c>
      <c r="P56" s="24"/>
      <c r="Q56" s="13"/>
      <c r="R56" s="25"/>
      <c r="S56" s="13"/>
    </row>
    <row r="57" spans="1:19" ht="12.75">
      <c r="A57" s="14" t="s">
        <v>53</v>
      </c>
      <c r="B57" s="14"/>
      <c r="C57" s="13">
        <v>32263381</v>
      </c>
      <c r="D57" s="13"/>
      <c r="E57" s="13">
        <v>27620917</v>
      </c>
      <c r="F57" s="13"/>
      <c r="G57" s="13">
        <v>0</v>
      </c>
      <c r="H57" s="13"/>
      <c r="I57" s="13">
        <v>3750585</v>
      </c>
      <c r="J57" s="13"/>
      <c r="K57" s="13">
        <v>101427454</v>
      </c>
      <c r="L57" s="13"/>
      <c r="M57" s="13">
        <v>304861</v>
      </c>
      <c r="N57" s="24"/>
      <c r="O57" s="24">
        <f t="shared" si="1"/>
        <v>27698334</v>
      </c>
      <c r="P57" s="24"/>
      <c r="Q57" s="13">
        <v>193065532</v>
      </c>
      <c r="R57" s="25"/>
      <c r="S57" s="13">
        <f>272593+12250000+220741+16491441</f>
        <v>29234775</v>
      </c>
    </row>
    <row r="58" spans="1:19" ht="12.75">
      <c r="A58" s="14" t="s">
        <v>54</v>
      </c>
      <c r="B58" s="14"/>
      <c r="C58" s="13">
        <v>7636017</v>
      </c>
      <c r="D58" s="13"/>
      <c r="E58" s="13">
        <v>6499806</v>
      </c>
      <c r="F58" s="13"/>
      <c r="G58" s="13">
        <v>0</v>
      </c>
      <c r="H58" s="13"/>
      <c r="I58" s="13">
        <v>5009233</v>
      </c>
      <c r="J58" s="13"/>
      <c r="K58" s="13">
        <v>23481518</v>
      </c>
      <c r="L58" s="13"/>
      <c r="M58" s="13">
        <v>61564</v>
      </c>
      <c r="N58" s="24"/>
      <c r="O58" s="24">
        <f t="shared" si="1"/>
        <v>4208405</v>
      </c>
      <c r="P58" s="24"/>
      <c r="Q58" s="13">
        <v>46896543</v>
      </c>
      <c r="R58" s="25"/>
      <c r="S58" s="13">
        <f>2585000+2241012</f>
        <v>4826012</v>
      </c>
    </row>
    <row r="59" spans="1:19" ht="12.75">
      <c r="A59" s="14" t="s">
        <v>55</v>
      </c>
      <c r="B59" s="14"/>
      <c r="C59" s="13">
        <v>25316392</v>
      </c>
      <c r="D59" s="13"/>
      <c r="E59" s="13">
        <v>9557722</v>
      </c>
      <c r="F59" s="13"/>
      <c r="G59" s="13">
        <v>926947</v>
      </c>
      <c r="H59" s="13"/>
      <c r="I59" s="13">
        <v>12270707</v>
      </c>
      <c r="J59" s="13"/>
      <c r="K59" s="13">
        <v>51165069</v>
      </c>
      <c r="L59" s="13"/>
      <c r="M59" s="13">
        <v>974322</v>
      </c>
      <c r="N59" s="24"/>
      <c r="O59" s="24">
        <f t="shared" si="1"/>
        <v>8907284</v>
      </c>
      <c r="P59" s="24"/>
      <c r="Q59" s="13">
        <v>109118443</v>
      </c>
      <c r="R59" s="25"/>
      <c r="S59" s="13">
        <f>30814+3445371</f>
        <v>3476185</v>
      </c>
    </row>
    <row r="60" spans="1:19" ht="12.75" hidden="1">
      <c r="A60" s="14" t="s">
        <v>171</v>
      </c>
      <c r="B60" s="14"/>
      <c r="C60" s="13"/>
      <c r="D60" s="13"/>
      <c r="E60" s="13">
        <v>0</v>
      </c>
      <c r="F60" s="13"/>
      <c r="G60" s="13">
        <v>0</v>
      </c>
      <c r="H60" s="13"/>
      <c r="I60" s="13"/>
      <c r="J60" s="13"/>
      <c r="K60" s="13"/>
      <c r="L60" s="13"/>
      <c r="M60" s="13">
        <v>0</v>
      </c>
      <c r="N60" s="24"/>
      <c r="O60" s="24">
        <f t="shared" si="1"/>
        <v>0</v>
      </c>
      <c r="P60" s="24"/>
      <c r="Q60" s="13"/>
      <c r="R60" s="25"/>
      <c r="S60" s="13"/>
    </row>
    <row r="61" spans="1:19" ht="12.75" hidden="1">
      <c r="A61" s="14" t="s">
        <v>56</v>
      </c>
      <c r="B61" s="1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4"/>
      <c r="O61" s="24">
        <f t="shared" si="1"/>
        <v>0</v>
      </c>
      <c r="P61" s="24"/>
      <c r="Q61" s="13"/>
      <c r="R61" s="25"/>
      <c r="S61" s="13"/>
    </row>
    <row r="62" spans="1:19" ht="12.75">
      <c r="A62" s="14" t="s">
        <v>57</v>
      </c>
      <c r="B62" s="14"/>
      <c r="C62" s="13">
        <v>22464867</v>
      </c>
      <c r="D62" s="13"/>
      <c r="E62" s="13">
        <v>0</v>
      </c>
      <c r="F62" s="13"/>
      <c r="G62" s="13">
        <v>0</v>
      </c>
      <c r="H62" s="13"/>
      <c r="I62" s="13">
        <v>13167486</v>
      </c>
      <c r="J62" s="13"/>
      <c r="K62" s="13">
        <v>27391229</v>
      </c>
      <c r="L62" s="13"/>
      <c r="M62" s="13">
        <v>0</v>
      </c>
      <c r="N62" s="24"/>
      <c r="O62" s="24">
        <f t="shared" si="1"/>
        <v>6932259</v>
      </c>
      <c r="P62" s="24"/>
      <c r="Q62" s="13">
        <v>69955841</v>
      </c>
      <c r="R62" s="25"/>
      <c r="S62" s="13">
        <f>26240+1382344</f>
        <v>1408584</v>
      </c>
    </row>
    <row r="63" spans="1:19" ht="12.75">
      <c r="A63" s="14" t="s">
        <v>58</v>
      </c>
      <c r="B63" s="14"/>
      <c r="C63" s="13">
        <v>1387608</v>
      </c>
      <c r="D63" s="13"/>
      <c r="E63" s="13">
        <v>1206720</v>
      </c>
      <c r="F63" s="13"/>
      <c r="G63" s="13">
        <v>0</v>
      </c>
      <c r="H63" s="13"/>
      <c r="I63" s="13">
        <v>1556082</v>
      </c>
      <c r="J63" s="13"/>
      <c r="K63" s="13">
        <v>11956815</v>
      </c>
      <c r="L63" s="13"/>
      <c r="M63" s="13">
        <v>0</v>
      </c>
      <c r="N63" s="24"/>
      <c r="O63" s="24">
        <f t="shared" si="1"/>
        <v>874324</v>
      </c>
      <c r="P63" s="24"/>
      <c r="Q63" s="13">
        <v>16981549</v>
      </c>
      <c r="R63" s="25"/>
      <c r="S63" s="13">
        <f>364164+11570+6500</f>
        <v>382234</v>
      </c>
    </row>
    <row r="64" spans="1:19" ht="12.75">
      <c r="A64" s="14" t="s">
        <v>59</v>
      </c>
      <c r="B64" s="14"/>
      <c r="C64" s="13">
        <v>111456210</v>
      </c>
      <c r="D64" s="13"/>
      <c r="E64" s="13">
        <v>64734278</v>
      </c>
      <c r="F64" s="13"/>
      <c r="G64" s="13">
        <v>8680326</v>
      </c>
      <c r="H64" s="13"/>
      <c r="I64" s="13">
        <v>48347722</v>
      </c>
      <c r="J64" s="13"/>
      <c r="K64" s="13">
        <v>244257303</v>
      </c>
      <c r="L64" s="13"/>
      <c r="M64" s="13">
        <v>416769</v>
      </c>
      <c r="N64" s="24"/>
      <c r="O64" s="24">
        <f t="shared" si="1"/>
        <v>36345806</v>
      </c>
      <c r="P64" s="24"/>
      <c r="Q64" s="13">
        <v>514238414</v>
      </c>
      <c r="R64" s="25"/>
      <c r="S64" s="13">
        <f>79134+489459+144275+123041105</f>
        <v>123753973</v>
      </c>
    </row>
    <row r="65" spans="1:19" ht="12.75" hidden="1">
      <c r="A65" s="14" t="s">
        <v>60</v>
      </c>
      <c r="B65" s="1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4"/>
      <c r="O65" s="24">
        <f t="shared" si="1"/>
        <v>0</v>
      </c>
      <c r="P65" s="24"/>
      <c r="Q65" s="13"/>
      <c r="R65" s="25"/>
      <c r="S65" s="13"/>
    </row>
    <row r="66" spans="1:19" ht="12.75">
      <c r="A66" s="14" t="s">
        <v>97</v>
      </c>
      <c r="B66" s="14"/>
      <c r="C66" s="13">
        <v>3938994</v>
      </c>
      <c r="D66" s="13"/>
      <c r="E66" s="13">
        <v>2736146</v>
      </c>
      <c r="F66" s="13"/>
      <c r="G66" s="13">
        <v>0</v>
      </c>
      <c r="H66" s="13"/>
      <c r="I66" s="13">
        <v>2229096</v>
      </c>
      <c r="J66" s="13"/>
      <c r="K66" s="13">
        <v>13745756</v>
      </c>
      <c r="L66" s="13"/>
      <c r="M66" s="13">
        <v>6702</v>
      </c>
      <c r="N66" s="24"/>
      <c r="O66" s="24">
        <f t="shared" si="1"/>
        <v>2809173</v>
      </c>
      <c r="P66" s="24"/>
      <c r="Q66" s="13">
        <v>25465867</v>
      </c>
      <c r="R66" s="25"/>
      <c r="S66" s="13">
        <f>9688+3167000+154762+12073+71105</f>
        <v>3414628</v>
      </c>
    </row>
    <row r="67" spans="1:19" ht="12.75">
      <c r="A67" s="14" t="s">
        <v>61</v>
      </c>
      <c r="B67" s="14"/>
      <c r="C67" s="13">
        <v>11541314</v>
      </c>
      <c r="D67" s="13"/>
      <c r="E67" s="13">
        <v>14718402</v>
      </c>
      <c r="F67" s="13"/>
      <c r="G67" s="13">
        <f>458632+491029</f>
        <v>949661</v>
      </c>
      <c r="H67" s="13"/>
      <c r="I67" s="13">
        <v>9515055</v>
      </c>
      <c r="J67" s="13"/>
      <c r="K67" s="13">
        <v>3181789</v>
      </c>
      <c r="L67" s="13"/>
      <c r="M67" s="13">
        <v>79349</v>
      </c>
      <c r="N67" s="24"/>
      <c r="O67" s="24">
        <f t="shared" si="1"/>
        <v>38849333</v>
      </c>
      <c r="P67" s="24"/>
      <c r="Q67" s="13">
        <v>78834903</v>
      </c>
      <c r="R67" s="25"/>
      <c r="S67" s="13">
        <f>15959+435023+860000+5675061</f>
        <v>6986043</v>
      </c>
    </row>
    <row r="68" spans="1:19" ht="12.75">
      <c r="A68" s="14" t="s">
        <v>62</v>
      </c>
      <c r="B68" s="14"/>
      <c r="C68" s="13">
        <v>1702931</v>
      </c>
      <c r="D68" s="13"/>
      <c r="E68" s="13">
        <v>1005701</v>
      </c>
      <c r="F68" s="13"/>
      <c r="G68" s="13">
        <v>0</v>
      </c>
      <c r="H68" s="13"/>
      <c r="I68" s="13">
        <v>1325568</v>
      </c>
      <c r="J68" s="13"/>
      <c r="K68" s="13">
        <v>8566270</v>
      </c>
      <c r="L68" s="13"/>
      <c r="M68" s="13">
        <v>0</v>
      </c>
      <c r="N68" s="24"/>
      <c r="O68" s="24">
        <f t="shared" si="1"/>
        <v>553451</v>
      </c>
      <c r="P68" s="24"/>
      <c r="Q68" s="13">
        <v>13153921</v>
      </c>
      <c r="R68" s="25"/>
      <c r="S68" s="13">
        <v>56801</v>
      </c>
    </row>
    <row r="69" spans="1:19" ht="12.75">
      <c r="A69" s="14" t="s">
        <v>63</v>
      </c>
      <c r="B69" s="14"/>
      <c r="C69" s="13">
        <v>7918504</v>
      </c>
      <c r="D69" s="13"/>
      <c r="E69" s="13">
        <v>5510950</v>
      </c>
      <c r="F69" s="13"/>
      <c r="G69" s="13">
        <v>487004</v>
      </c>
      <c r="H69" s="13"/>
      <c r="I69" s="13">
        <v>5902296</v>
      </c>
      <c r="J69" s="13"/>
      <c r="K69" s="13">
        <v>16086147</v>
      </c>
      <c r="L69" s="13"/>
      <c r="M69" s="13">
        <v>2386001</v>
      </c>
      <c r="N69" s="24"/>
      <c r="O69" s="24">
        <f t="shared" si="1"/>
        <v>5324368</v>
      </c>
      <c r="P69" s="24"/>
      <c r="Q69" s="13">
        <v>43615270</v>
      </c>
      <c r="R69" s="25"/>
      <c r="S69" s="13">
        <f>2970000+1475+3223800+12240</f>
        <v>6207515</v>
      </c>
    </row>
    <row r="70" spans="1:19" ht="12.75" hidden="1">
      <c r="A70" s="14" t="s">
        <v>132</v>
      </c>
      <c r="B70" s="1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24"/>
      <c r="O70" s="24">
        <f t="shared" si="1"/>
        <v>0</v>
      </c>
      <c r="P70" s="24"/>
      <c r="Q70" s="13"/>
      <c r="R70" s="25"/>
      <c r="S70" s="13"/>
    </row>
    <row r="71" spans="1:19" ht="12.75" hidden="1">
      <c r="A71" s="14" t="s">
        <v>64</v>
      </c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24"/>
      <c r="O71" s="24">
        <f t="shared" si="1"/>
        <v>0</v>
      </c>
      <c r="P71" s="24"/>
      <c r="Q71" s="13"/>
      <c r="R71" s="25"/>
      <c r="S71" s="13"/>
    </row>
    <row r="72" spans="1:19" ht="12.75">
      <c r="A72" s="14"/>
      <c r="B72" s="1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24"/>
      <c r="O72" s="24"/>
      <c r="P72" s="24"/>
      <c r="Q72" s="13"/>
      <c r="R72" s="25"/>
      <c r="S72" s="13"/>
    </row>
    <row r="73" spans="1:19" ht="12.75">
      <c r="A73" s="14" t="s">
        <v>237</v>
      </c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24"/>
      <c r="O73" s="24"/>
      <c r="P73" s="24"/>
      <c r="Q73" s="13" t="s">
        <v>261</v>
      </c>
      <c r="R73" s="25"/>
      <c r="S73" s="13"/>
    </row>
    <row r="74" spans="1:19" ht="12.75">
      <c r="A74" s="14" t="s">
        <v>65</v>
      </c>
      <c r="B74" s="14"/>
      <c r="C74" s="27">
        <v>7228626</v>
      </c>
      <c r="D74" s="27"/>
      <c r="E74" s="27">
        <v>5686142</v>
      </c>
      <c r="F74" s="27"/>
      <c r="G74" s="27">
        <v>0</v>
      </c>
      <c r="H74" s="27"/>
      <c r="I74" s="27">
        <v>4616229</v>
      </c>
      <c r="J74" s="27"/>
      <c r="K74" s="27">
        <v>14427170</v>
      </c>
      <c r="L74" s="27"/>
      <c r="M74" s="27">
        <v>0</v>
      </c>
      <c r="N74" s="56"/>
      <c r="O74" s="56">
        <f t="shared" si="1"/>
        <v>2163731</v>
      </c>
      <c r="P74" s="56"/>
      <c r="Q74" s="27">
        <v>34121898</v>
      </c>
      <c r="R74" s="25"/>
      <c r="S74" s="27">
        <v>612079</v>
      </c>
    </row>
    <row r="75" spans="1:19" ht="12.75">
      <c r="A75" s="14" t="s">
        <v>66</v>
      </c>
      <c r="B75" s="14"/>
      <c r="C75" s="13">
        <v>6557488</v>
      </c>
      <c r="D75" s="13"/>
      <c r="E75" s="13">
        <v>0</v>
      </c>
      <c r="F75" s="13"/>
      <c r="G75" s="13">
        <v>79215</v>
      </c>
      <c r="H75" s="13"/>
      <c r="I75" s="13">
        <v>2189974</v>
      </c>
      <c r="J75" s="13"/>
      <c r="K75" s="13">
        <v>12175131</v>
      </c>
      <c r="L75" s="13"/>
      <c r="M75" s="13">
        <v>0</v>
      </c>
      <c r="N75" s="24"/>
      <c r="O75" s="24">
        <f t="shared" si="1"/>
        <v>4157174</v>
      </c>
      <c r="P75" s="24"/>
      <c r="Q75" s="13">
        <v>25158982</v>
      </c>
      <c r="R75" s="25"/>
      <c r="S75" s="13">
        <f>341153+2662893+292112+4201</f>
        <v>3300359</v>
      </c>
    </row>
    <row r="76" spans="1:19" ht="12.75">
      <c r="A76" s="14" t="s">
        <v>67</v>
      </c>
      <c r="B76" s="14"/>
      <c r="C76" s="13">
        <v>26175660</v>
      </c>
      <c r="D76" s="13"/>
      <c r="E76" s="13">
        <v>14386517</v>
      </c>
      <c r="F76" s="13"/>
      <c r="G76" s="13">
        <v>0</v>
      </c>
      <c r="H76" s="13"/>
      <c r="I76" s="13">
        <v>15635151</v>
      </c>
      <c r="J76" s="13"/>
      <c r="K76" s="13">
        <v>46582853</v>
      </c>
      <c r="L76" s="13"/>
      <c r="M76" s="13">
        <v>189843</v>
      </c>
      <c r="N76" s="24"/>
      <c r="O76" s="24">
        <f aca="true" t="shared" si="2" ref="O76:O97">Q76-C76-E76-G76-I76-K76-M76</f>
        <v>6673413</v>
      </c>
      <c r="P76" s="24"/>
      <c r="Q76" s="13">
        <v>109643437</v>
      </c>
      <c r="R76" s="25"/>
      <c r="S76" s="13">
        <f>412482+7139960+2069+1372322</f>
        <v>8926833</v>
      </c>
    </row>
    <row r="77" spans="1:19" ht="12.75">
      <c r="A77" s="14" t="s">
        <v>68</v>
      </c>
      <c r="B77" s="14"/>
      <c r="C77" s="13">
        <v>3957639</v>
      </c>
      <c r="D77" s="13"/>
      <c r="E77" s="13">
        <v>4388892</v>
      </c>
      <c r="F77" s="13"/>
      <c r="G77" s="13">
        <v>0</v>
      </c>
      <c r="H77" s="13"/>
      <c r="I77" s="13">
        <v>3275130</v>
      </c>
      <c r="J77" s="13"/>
      <c r="K77" s="13">
        <v>15852061</v>
      </c>
      <c r="L77" s="13"/>
      <c r="M77" s="13">
        <v>155197</v>
      </c>
      <c r="N77" s="24"/>
      <c r="O77" s="24">
        <f t="shared" si="2"/>
        <v>1653316</v>
      </c>
      <c r="P77" s="24"/>
      <c r="Q77" s="13">
        <v>29282235</v>
      </c>
      <c r="R77" s="25"/>
      <c r="S77" s="13">
        <f>120000+800642+1098948</f>
        <v>2019590</v>
      </c>
    </row>
    <row r="78" spans="1:19" ht="12.75" hidden="1">
      <c r="A78" s="14" t="s">
        <v>176</v>
      </c>
      <c r="B78" s="14"/>
      <c r="C78" s="13">
        <v>0</v>
      </c>
      <c r="D78" s="13"/>
      <c r="E78" s="13">
        <v>0</v>
      </c>
      <c r="F78" s="13"/>
      <c r="G78" s="13">
        <v>0</v>
      </c>
      <c r="H78" s="13"/>
      <c r="I78" s="13">
        <v>0</v>
      </c>
      <c r="J78" s="13"/>
      <c r="K78" s="13">
        <v>0</v>
      </c>
      <c r="L78" s="13"/>
      <c r="M78" s="13">
        <v>0</v>
      </c>
      <c r="N78" s="24"/>
      <c r="O78" s="24">
        <f t="shared" si="2"/>
        <v>0</v>
      </c>
      <c r="P78" s="24"/>
      <c r="Q78" s="13">
        <v>0</v>
      </c>
      <c r="R78" s="25"/>
      <c r="S78" s="13">
        <v>0</v>
      </c>
    </row>
    <row r="79" spans="1:19" ht="12.75">
      <c r="A79" s="14" t="s">
        <v>181</v>
      </c>
      <c r="B79" s="14"/>
      <c r="C79" s="13">
        <v>18480742</v>
      </c>
      <c r="D79" s="13"/>
      <c r="E79" s="13">
        <v>14750763</v>
      </c>
      <c r="F79" s="13"/>
      <c r="G79" s="13">
        <v>0</v>
      </c>
      <c r="H79" s="13"/>
      <c r="I79" s="13">
        <v>8719817</v>
      </c>
      <c r="J79" s="13"/>
      <c r="K79" s="13">
        <v>60418448</v>
      </c>
      <c r="L79" s="13"/>
      <c r="M79" s="13">
        <v>1249073</v>
      </c>
      <c r="N79" s="24"/>
      <c r="O79" s="24">
        <f t="shared" si="2"/>
        <v>6206699</v>
      </c>
      <c r="P79" s="24"/>
      <c r="Q79" s="13">
        <v>109825542</v>
      </c>
      <c r="R79" s="25"/>
      <c r="S79" s="13">
        <f>9393000+42650+8049721</f>
        <v>17485371</v>
      </c>
    </row>
    <row r="80" spans="1:19" ht="12.75">
      <c r="A80" s="14" t="s">
        <v>69</v>
      </c>
      <c r="B80" s="14"/>
      <c r="C80" s="13">
        <v>8005613</v>
      </c>
      <c r="D80" s="13"/>
      <c r="E80" s="13">
        <v>11219814</v>
      </c>
      <c r="F80" s="13"/>
      <c r="G80" s="13">
        <v>0</v>
      </c>
      <c r="H80" s="13"/>
      <c r="I80" s="13">
        <v>6821908</v>
      </c>
      <c r="J80" s="13"/>
      <c r="K80" s="13">
        <v>29148686</v>
      </c>
      <c r="L80" s="13"/>
      <c r="M80" s="13">
        <v>7312</v>
      </c>
      <c r="N80" s="24"/>
      <c r="O80" s="24">
        <f t="shared" si="2"/>
        <v>2724432</v>
      </c>
      <c r="P80" s="24"/>
      <c r="Q80" s="13">
        <v>57927765</v>
      </c>
      <c r="R80" s="25"/>
      <c r="S80" s="13">
        <f>32505+550847+3107500+7840300</f>
        <v>11531152</v>
      </c>
    </row>
    <row r="81" spans="1:19" ht="12.75">
      <c r="A81" s="14" t="s">
        <v>98</v>
      </c>
      <c r="B81" s="14"/>
      <c r="C81" s="13">
        <v>7713915</v>
      </c>
      <c r="D81" s="13"/>
      <c r="E81" s="13">
        <v>6928915</v>
      </c>
      <c r="F81" s="13"/>
      <c r="G81" s="13">
        <v>0</v>
      </c>
      <c r="H81" s="13"/>
      <c r="I81" s="13">
        <v>4935473</v>
      </c>
      <c r="J81" s="13"/>
      <c r="K81" s="13">
        <v>25325072</v>
      </c>
      <c r="L81" s="13"/>
      <c r="M81" s="13">
        <v>165749</v>
      </c>
      <c r="N81" s="24"/>
      <c r="O81" s="24">
        <f t="shared" si="2"/>
        <v>4317858</v>
      </c>
      <c r="P81" s="24"/>
      <c r="Q81" s="13">
        <v>49386982</v>
      </c>
      <c r="R81" s="25"/>
      <c r="S81" s="13">
        <f>295000+222106+1469786</f>
        <v>1986892</v>
      </c>
    </row>
    <row r="82" spans="1:19" ht="12.75">
      <c r="A82" s="14" t="s">
        <v>70</v>
      </c>
      <c r="B82" s="14"/>
      <c r="C82" s="13">
        <v>6508386</v>
      </c>
      <c r="D82" s="13"/>
      <c r="E82" s="13">
        <v>8744475</v>
      </c>
      <c r="F82" s="13"/>
      <c r="G82" s="13">
        <v>43481</v>
      </c>
      <c r="H82" s="13"/>
      <c r="I82" s="13">
        <v>5897925</v>
      </c>
      <c r="J82" s="13"/>
      <c r="K82" s="13">
        <v>31025593</v>
      </c>
      <c r="L82" s="13"/>
      <c r="M82" s="13">
        <v>0</v>
      </c>
      <c r="N82" s="24"/>
      <c r="O82" s="24">
        <f t="shared" si="2"/>
        <v>2423325</v>
      </c>
      <c r="P82" s="24"/>
      <c r="Q82" s="13">
        <v>54643185</v>
      </c>
      <c r="R82" s="25"/>
      <c r="S82" s="13">
        <f>2170189+2930000+1040006+4895909</f>
        <v>11036104</v>
      </c>
    </row>
    <row r="83" spans="1:19" ht="12.75">
      <c r="A83" s="14" t="s">
        <v>71</v>
      </c>
      <c r="B83" s="14"/>
      <c r="C83" s="13">
        <v>6228384</v>
      </c>
      <c r="D83" s="13"/>
      <c r="E83" s="13">
        <v>6831027</v>
      </c>
      <c r="F83" s="13"/>
      <c r="G83" s="13">
        <v>0</v>
      </c>
      <c r="H83" s="13"/>
      <c r="I83" s="13">
        <v>3837287</v>
      </c>
      <c r="J83" s="13"/>
      <c r="K83" s="13">
        <v>27737291</v>
      </c>
      <c r="L83" s="13"/>
      <c r="M83" s="13">
        <v>176859</v>
      </c>
      <c r="N83" s="24"/>
      <c r="O83" s="24">
        <f t="shared" si="2"/>
        <v>3559736</v>
      </c>
      <c r="P83" s="24"/>
      <c r="Q83" s="13">
        <v>48370584</v>
      </c>
      <c r="R83" s="25"/>
      <c r="S83" s="13">
        <f>2197975+855000+6425</f>
        <v>3059400</v>
      </c>
    </row>
    <row r="84" spans="1:19" ht="12.75">
      <c r="A84" s="14" t="s">
        <v>72</v>
      </c>
      <c r="B84" s="14"/>
      <c r="C84" s="13">
        <v>7747583</v>
      </c>
      <c r="D84" s="13"/>
      <c r="E84" s="13">
        <v>8034075</v>
      </c>
      <c r="F84" s="13"/>
      <c r="G84" s="13">
        <v>0</v>
      </c>
      <c r="H84" s="13"/>
      <c r="I84" s="13">
        <v>4613990</v>
      </c>
      <c r="J84" s="13"/>
      <c r="K84" s="13">
        <v>16588932</v>
      </c>
      <c r="L84" s="13"/>
      <c r="M84" s="13">
        <v>350007</v>
      </c>
      <c r="N84" s="24"/>
      <c r="O84" s="24">
        <f t="shared" si="2"/>
        <v>2759186</v>
      </c>
      <c r="P84" s="24"/>
      <c r="Q84" s="13">
        <v>40093773</v>
      </c>
      <c r="R84" s="25"/>
      <c r="S84" s="13">
        <f>15062+200875+306102</f>
        <v>522039</v>
      </c>
    </row>
    <row r="85" spans="1:19" ht="12.75">
      <c r="A85" s="14" t="s">
        <v>73</v>
      </c>
      <c r="B85" s="14"/>
      <c r="C85" s="13">
        <v>51623475</v>
      </c>
      <c r="D85" s="13"/>
      <c r="E85" s="13">
        <v>12737405</v>
      </c>
      <c r="F85" s="13"/>
      <c r="G85" s="13">
        <v>0</v>
      </c>
      <c r="H85" s="13"/>
      <c r="I85" s="13">
        <v>28725472</v>
      </c>
      <c r="J85" s="13"/>
      <c r="K85" s="13">
        <v>149285521</v>
      </c>
      <c r="L85" s="13"/>
      <c r="M85" s="13">
        <v>702783</v>
      </c>
      <c r="N85" s="24"/>
      <c r="O85" s="24">
        <f t="shared" si="2"/>
        <v>13589773</v>
      </c>
      <c r="P85" s="24"/>
      <c r="Q85" s="13">
        <v>256664429</v>
      </c>
      <c r="R85" s="25"/>
      <c r="S85" s="13">
        <f>1179477+172518+45808</f>
        <v>1397803</v>
      </c>
    </row>
    <row r="86" spans="1:19" ht="12.75">
      <c r="A86" s="14" t="s">
        <v>74</v>
      </c>
      <c r="B86" s="14"/>
      <c r="C86" s="13">
        <v>109025020</v>
      </c>
      <c r="D86" s="13"/>
      <c r="E86" s="13">
        <v>36021183</v>
      </c>
      <c r="F86" s="13"/>
      <c r="G86" s="13">
        <v>13553730</v>
      </c>
      <c r="H86" s="13"/>
      <c r="I86" s="13">
        <v>41295266</v>
      </c>
      <c r="J86" s="13"/>
      <c r="K86" s="13">
        <v>214785071</v>
      </c>
      <c r="L86" s="13"/>
      <c r="M86" s="13">
        <v>181145</v>
      </c>
      <c r="N86" s="24"/>
      <c r="O86" s="24">
        <f t="shared" si="2"/>
        <v>21454514</v>
      </c>
      <c r="P86" s="24"/>
      <c r="Q86" s="13">
        <v>436315929</v>
      </c>
      <c r="R86" s="25"/>
      <c r="S86" s="13">
        <f>31934+516819+877517+7894081</f>
        <v>9320351</v>
      </c>
    </row>
    <row r="87" spans="1:19" ht="12.75">
      <c r="A87" s="14" t="s">
        <v>75</v>
      </c>
      <c r="B87" s="14"/>
      <c r="C87" s="13">
        <v>34243821</v>
      </c>
      <c r="D87" s="13"/>
      <c r="E87" s="13">
        <v>19262369</v>
      </c>
      <c r="F87" s="13"/>
      <c r="G87" s="13">
        <v>0</v>
      </c>
      <c r="H87" s="13"/>
      <c r="I87" s="13">
        <v>6941880</v>
      </c>
      <c r="J87" s="13"/>
      <c r="K87" s="13">
        <v>90641357</v>
      </c>
      <c r="L87" s="13"/>
      <c r="M87" s="13">
        <v>622840</v>
      </c>
      <c r="N87" s="24"/>
      <c r="O87" s="24">
        <f t="shared" si="2"/>
        <v>12733556</v>
      </c>
      <c r="P87" s="24"/>
      <c r="Q87" s="13">
        <v>164445823</v>
      </c>
      <c r="R87" s="25"/>
      <c r="S87" s="13">
        <f>4685+601481+67461+1835000+30000+18235000+29372+6842940</f>
        <v>27645939</v>
      </c>
    </row>
    <row r="88" spans="1:19" ht="12.75">
      <c r="A88" s="14" t="s">
        <v>76</v>
      </c>
      <c r="B88" s="14"/>
      <c r="C88" s="13">
        <v>10101392</v>
      </c>
      <c r="D88" s="13"/>
      <c r="E88" s="13">
        <v>9291205</v>
      </c>
      <c r="F88" s="13"/>
      <c r="G88" s="13">
        <v>0</v>
      </c>
      <c r="H88" s="13"/>
      <c r="I88" s="13">
        <v>5309764</v>
      </c>
      <c r="J88" s="13"/>
      <c r="K88" s="13">
        <v>26184238</v>
      </c>
      <c r="L88" s="13"/>
      <c r="M88" s="13">
        <v>0</v>
      </c>
      <c r="N88" s="24"/>
      <c r="O88" s="24">
        <f t="shared" si="2"/>
        <v>4773376</v>
      </c>
      <c r="P88" s="24"/>
      <c r="Q88" s="13">
        <v>55659975</v>
      </c>
      <c r="R88" s="25"/>
      <c r="S88" s="13">
        <f>12430+11225545</f>
        <v>11237975</v>
      </c>
    </row>
    <row r="89" spans="1:19" ht="12.75">
      <c r="A89" s="14" t="s">
        <v>77</v>
      </c>
      <c r="B89" s="14"/>
      <c r="C89" s="13">
        <v>11160274</v>
      </c>
      <c r="D89" s="13"/>
      <c r="E89" s="13">
        <v>7120385</v>
      </c>
      <c r="F89" s="13"/>
      <c r="G89" s="13">
        <v>0</v>
      </c>
      <c r="H89" s="13"/>
      <c r="I89" s="13">
        <v>5635607</v>
      </c>
      <c r="J89" s="13"/>
      <c r="K89" s="13">
        <v>21396153</v>
      </c>
      <c r="L89" s="13"/>
      <c r="M89" s="13">
        <v>88551</v>
      </c>
      <c r="N89" s="24"/>
      <c r="O89" s="24">
        <f t="shared" si="2"/>
        <v>3727474</v>
      </c>
      <c r="P89" s="24"/>
      <c r="Q89" s="13">
        <v>49128444</v>
      </c>
      <c r="R89" s="25"/>
      <c r="S89" s="13">
        <f>931130+537301</f>
        <v>1468431</v>
      </c>
    </row>
    <row r="90" spans="1:19" ht="12.75">
      <c r="A90" s="14" t="s">
        <v>78</v>
      </c>
      <c r="B90" s="14"/>
      <c r="C90" s="13">
        <v>3594408</v>
      </c>
      <c r="D90" s="13"/>
      <c r="E90" s="13">
        <v>3764728</v>
      </c>
      <c r="F90" s="13"/>
      <c r="G90" s="13">
        <v>0</v>
      </c>
      <c r="H90" s="13"/>
      <c r="I90" s="13">
        <v>2328166</v>
      </c>
      <c r="J90" s="13"/>
      <c r="K90" s="13">
        <v>12421574</v>
      </c>
      <c r="L90" s="13"/>
      <c r="M90" s="13">
        <v>282582</v>
      </c>
      <c r="N90" s="24"/>
      <c r="O90" s="24">
        <f t="shared" si="2"/>
        <v>1416101</v>
      </c>
      <c r="P90" s="24"/>
      <c r="Q90" s="13">
        <v>23807559</v>
      </c>
      <c r="R90" s="25"/>
      <c r="S90" s="13">
        <f>357903+25388+80000+265888</f>
        <v>729179</v>
      </c>
    </row>
    <row r="91" spans="1:19" ht="12.75">
      <c r="A91" s="14" t="s">
        <v>79</v>
      </c>
      <c r="B91" s="14"/>
      <c r="C91" s="13">
        <v>2029520</v>
      </c>
      <c r="D91" s="13"/>
      <c r="E91" s="13">
        <v>0</v>
      </c>
      <c r="F91" s="13"/>
      <c r="G91" s="13">
        <v>0</v>
      </c>
      <c r="H91" s="13"/>
      <c r="I91" s="13">
        <v>1759244</v>
      </c>
      <c r="J91" s="13"/>
      <c r="K91" s="13">
        <v>9839732</v>
      </c>
      <c r="L91" s="13"/>
      <c r="M91" s="13">
        <v>0</v>
      </c>
      <c r="N91" s="24"/>
      <c r="O91" s="24">
        <f t="shared" si="2"/>
        <v>1363764</v>
      </c>
      <c r="P91" s="24"/>
      <c r="Q91" s="13">
        <v>14992260</v>
      </c>
      <c r="R91" s="25"/>
      <c r="S91" s="13">
        <f>166588+52600</f>
        <v>219188</v>
      </c>
    </row>
    <row r="92" spans="1:19" ht="12.75">
      <c r="A92" s="14" t="s">
        <v>80</v>
      </c>
      <c r="B92" s="14"/>
      <c r="C92" s="13">
        <v>62442778</v>
      </c>
      <c r="D92" s="13"/>
      <c r="E92" s="13">
        <v>0</v>
      </c>
      <c r="F92" s="13"/>
      <c r="G92" s="13">
        <v>0</v>
      </c>
      <c r="H92" s="13"/>
      <c r="I92" s="13">
        <v>14025407</v>
      </c>
      <c r="J92" s="13"/>
      <c r="K92" s="13">
        <v>33909065</v>
      </c>
      <c r="L92" s="13"/>
      <c r="M92" s="13">
        <v>1806801</v>
      </c>
      <c r="N92" s="24"/>
      <c r="O92" s="24">
        <f t="shared" si="2"/>
        <v>8560561</v>
      </c>
      <c r="P92" s="24"/>
      <c r="Q92" s="13">
        <v>120744612</v>
      </c>
      <c r="R92" s="25"/>
      <c r="S92" s="13">
        <f>1000000+7962923</f>
        <v>8962923</v>
      </c>
    </row>
    <row r="93" spans="1:19" ht="12.75">
      <c r="A93" s="14" t="s">
        <v>81</v>
      </c>
      <c r="B93" s="14"/>
      <c r="C93" s="13">
        <v>9456512</v>
      </c>
      <c r="D93" s="13"/>
      <c r="E93" s="13">
        <v>9411202</v>
      </c>
      <c r="F93" s="13"/>
      <c r="G93" s="13">
        <v>0</v>
      </c>
      <c r="H93" s="13"/>
      <c r="I93" s="13">
        <v>4756070</v>
      </c>
      <c r="J93" s="13"/>
      <c r="K93" s="13">
        <v>29622761</v>
      </c>
      <c r="L93" s="13"/>
      <c r="M93" s="13">
        <v>0</v>
      </c>
      <c r="N93" s="24"/>
      <c r="O93" s="24">
        <f t="shared" si="2"/>
        <v>2704656</v>
      </c>
      <c r="P93" s="24"/>
      <c r="Q93" s="13">
        <v>55951201</v>
      </c>
      <c r="R93" s="25"/>
      <c r="S93" s="13">
        <f>8021+440000+23323+709440+1936130+49189</f>
        <v>3166103</v>
      </c>
    </row>
    <row r="94" spans="1:19" ht="12.75">
      <c r="A94" s="14" t="s">
        <v>82</v>
      </c>
      <c r="B94" s="14"/>
      <c r="C94" s="13">
        <v>16041064</v>
      </c>
      <c r="D94" s="13"/>
      <c r="E94" s="13">
        <v>9522786</v>
      </c>
      <c r="F94" s="13"/>
      <c r="G94" s="13">
        <v>0</v>
      </c>
      <c r="H94" s="13"/>
      <c r="I94" s="13">
        <v>10547546</v>
      </c>
      <c r="J94" s="13"/>
      <c r="K94" s="13">
        <v>32409156</v>
      </c>
      <c r="L94" s="13"/>
      <c r="M94" s="13">
        <v>2494</v>
      </c>
      <c r="N94" s="24"/>
      <c r="O94" s="24">
        <f t="shared" si="2"/>
        <v>7059183</v>
      </c>
      <c r="P94" s="24"/>
      <c r="Q94" s="13">
        <v>75582229</v>
      </c>
      <c r="R94" s="25"/>
      <c r="S94" s="13">
        <f>566+100000+2511887</f>
        <v>2612453</v>
      </c>
    </row>
    <row r="95" spans="1:19" ht="12.75" hidden="1">
      <c r="A95" s="14" t="s">
        <v>174</v>
      </c>
      <c r="B95" s="14"/>
      <c r="C95" s="13">
        <v>0</v>
      </c>
      <c r="D95" s="13"/>
      <c r="E95" s="13">
        <v>0</v>
      </c>
      <c r="F95" s="13"/>
      <c r="G95" s="13">
        <v>0</v>
      </c>
      <c r="H95" s="13"/>
      <c r="I95" s="13">
        <v>0</v>
      </c>
      <c r="J95" s="13"/>
      <c r="K95" s="13">
        <v>0</v>
      </c>
      <c r="L95" s="13"/>
      <c r="M95" s="13">
        <v>0</v>
      </c>
      <c r="N95" s="24"/>
      <c r="O95" s="24">
        <f t="shared" si="2"/>
        <v>0</v>
      </c>
      <c r="P95" s="24"/>
      <c r="Q95" s="13">
        <v>0</v>
      </c>
      <c r="R95" s="25"/>
      <c r="S95" s="13">
        <v>0</v>
      </c>
    </row>
    <row r="96" spans="1:19" ht="12.75">
      <c r="A96" s="14" t="s">
        <v>83</v>
      </c>
      <c r="B96" s="14"/>
      <c r="C96" s="13">
        <v>27410533</v>
      </c>
      <c r="D96" s="13"/>
      <c r="E96" s="13">
        <v>14926452</v>
      </c>
      <c r="F96" s="13"/>
      <c r="G96" s="13">
        <v>4003730</v>
      </c>
      <c r="H96" s="13"/>
      <c r="I96" s="13">
        <v>14418668</v>
      </c>
      <c r="J96" s="13"/>
      <c r="K96" s="13">
        <v>39822034</v>
      </c>
      <c r="L96" s="13"/>
      <c r="M96" s="13">
        <v>836989</v>
      </c>
      <c r="N96" s="24"/>
      <c r="O96" s="24">
        <f t="shared" si="2"/>
        <v>6724381</v>
      </c>
      <c r="P96" s="24"/>
      <c r="Q96" s="13">
        <v>108142787</v>
      </c>
      <c r="R96" s="25"/>
      <c r="S96" s="13">
        <v>5979298</v>
      </c>
    </row>
    <row r="97" spans="1:19" ht="12.75" hidden="1">
      <c r="A97" s="14" t="s">
        <v>175</v>
      </c>
      <c r="B97" s="14"/>
      <c r="C97" s="52">
        <v>0</v>
      </c>
      <c r="D97" s="52"/>
      <c r="E97" s="52">
        <v>0</v>
      </c>
      <c r="F97" s="52"/>
      <c r="G97" s="52">
        <v>0</v>
      </c>
      <c r="H97" s="52"/>
      <c r="I97" s="57">
        <v>0</v>
      </c>
      <c r="J97" s="57"/>
      <c r="K97" s="57">
        <v>0</v>
      </c>
      <c r="L97" s="57"/>
      <c r="M97" s="57">
        <v>0</v>
      </c>
      <c r="N97" s="57"/>
      <c r="O97" s="24">
        <f t="shared" si="2"/>
        <v>0</v>
      </c>
      <c r="P97" s="57"/>
      <c r="Q97" s="13">
        <v>0</v>
      </c>
      <c r="R97" s="15"/>
      <c r="S97" s="13">
        <v>0</v>
      </c>
    </row>
    <row r="98" spans="1:19" ht="12.75">
      <c r="A98" s="14"/>
      <c r="B98" s="14"/>
      <c r="C98" s="52"/>
      <c r="D98" s="52"/>
      <c r="E98" s="52"/>
      <c r="F98" s="52"/>
      <c r="G98" s="52"/>
      <c r="H98" s="52"/>
      <c r="I98" s="57"/>
      <c r="J98" s="57"/>
      <c r="K98" s="57"/>
      <c r="L98" s="57"/>
      <c r="M98" s="57"/>
      <c r="N98" s="57"/>
      <c r="O98" s="24"/>
      <c r="P98" s="57"/>
      <c r="Q98" s="13"/>
      <c r="R98" s="15"/>
      <c r="S98" s="13"/>
    </row>
    <row r="99" spans="1:18" ht="12.75">
      <c r="A99" s="14" t="s">
        <v>237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5"/>
    </row>
    <row r="100" spans="1:18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5"/>
    </row>
    <row r="101" spans="1:18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>
        <f>SUM(Q9:Q96)</f>
        <v>8565734275</v>
      </c>
      <c r="R101" s="15"/>
    </row>
    <row r="102" spans="1:18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5"/>
    </row>
    <row r="103" spans="1:18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5"/>
    </row>
    <row r="104" spans="1:18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5"/>
    </row>
    <row r="105" spans="1:18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5"/>
    </row>
    <row r="106" spans="1:18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5"/>
    </row>
    <row r="107" spans="1:18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5"/>
    </row>
  </sheetData>
  <printOptions/>
  <pageMargins left="0.75" right="0.75" top="0.5" bottom="0.5" header="0" footer="0.3"/>
  <pageSetup firstPageNumber="32" useFirstPageNumber="1" horizontalDpi="600" verticalDpi="600" orientation="portrait" pageOrder="overThenDown" r:id="rId1"/>
  <headerFooter alignWithMargins="0">
    <oddFooter>&amp;C&amp;"Times New Roman,Regular"&amp;11&amp;P</oddFooter>
  </headerFooter>
  <rowBreaks count="1" manualBreakCount="1">
    <brk id="73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N603"/>
  <sheetViews>
    <sheetView view="pageBreakPreview" zoomScaleSheetLayoutView="100" workbookViewId="0" topLeftCell="V1">
      <selection activeCell="K39" sqref="K39"/>
    </sheetView>
  </sheetViews>
  <sheetFormatPr defaultColWidth="9.140625" defaultRowHeight="12.75"/>
  <cols>
    <col min="1" max="1" width="15.7109375" style="16" customWidth="1"/>
    <col min="2" max="2" width="1.7109375" style="16" customWidth="1"/>
    <col min="3" max="3" width="11.7109375" style="16" customWidth="1"/>
    <col min="4" max="4" width="1.7109375" style="16" customWidth="1"/>
    <col min="5" max="5" width="11.7109375" style="16" customWidth="1"/>
    <col min="6" max="6" width="1.7109375" style="16" customWidth="1"/>
    <col min="7" max="7" width="11.7109375" style="16" customWidth="1"/>
    <col min="8" max="8" width="1.7109375" style="16" customWidth="1"/>
    <col min="9" max="9" width="11.7109375" style="16" customWidth="1"/>
    <col min="10" max="10" width="1.7109375" style="16" customWidth="1"/>
    <col min="11" max="11" width="11.7109375" style="16" customWidth="1"/>
    <col min="12" max="12" width="1.7109375" style="16" customWidth="1"/>
    <col min="13" max="13" width="11.7109375" style="16" customWidth="1"/>
    <col min="14" max="14" width="1.7109375" style="16" customWidth="1"/>
    <col min="15" max="15" width="11.7109375" style="16" customWidth="1"/>
    <col min="16" max="16" width="1.7109375" style="16" customWidth="1"/>
    <col min="17" max="17" width="10.7109375" style="16" customWidth="1"/>
    <col min="18" max="18" width="1.7109375" style="16" customWidth="1"/>
    <col min="19" max="19" width="10.7109375" style="16" customWidth="1"/>
    <col min="20" max="20" width="1.7109375" style="16" customWidth="1"/>
    <col min="21" max="21" width="10.7109375" style="16" customWidth="1"/>
    <col min="22" max="22" width="1.7109375" style="16" customWidth="1"/>
    <col min="23" max="23" width="10.7109375" style="16" customWidth="1"/>
    <col min="24" max="24" width="1.7109375" style="16" customWidth="1"/>
    <col min="25" max="25" width="9.7109375" style="16" customWidth="1"/>
    <col min="26" max="26" width="1.7109375" style="16" customWidth="1"/>
    <col min="27" max="27" width="10.7109375" style="16" customWidth="1"/>
    <col min="28" max="28" width="1.7109375" style="16" customWidth="1"/>
    <col min="29" max="29" width="11.7109375" style="16" customWidth="1"/>
    <col min="30" max="30" width="2.7109375" style="16" customWidth="1"/>
    <col min="31" max="31" width="11.7109375" style="16" customWidth="1"/>
    <col min="32" max="32" width="11.7109375" style="78" customWidth="1"/>
    <col min="33" max="33" width="11.140625" style="78" bestFit="1" customWidth="1"/>
    <col min="34" max="34" width="9.140625" style="78" customWidth="1"/>
    <col min="35" max="35" width="11.421875" style="78" bestFit="1" customWidth="1"/>
    <col min="36" max="36" width="9.140625" style="78" customWidth="1"/>
    <col min="37" max="37" width="10.8515625" style="78" bestFit="1" customWidth="1"/>
    <col min="38" max="38" width="9.140625" style="78" customWidth="1"/>
    <col min="39" max="39" width="14.140625" style="78" customWidth="1"/>
    <col min="40" max="16384" width="9.140625" style="78" customWidth="1"/>
  </cols>
  <sheetData>
    <row r="1" spans="1:33" s="46" customFormat="1" ht="12.75">
      <c r="A1" s="43" t="s">
        <v>206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23"/>
      <c r="AF1" s="28"/>
      <c r="AG1" s="45"/>
    </row>
    <row r="2" spans="1:33" s="46" customFormat="1" ht="12.75">
      <c r="A2" s="43" t="s">
        <v>249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23"/>
      <c r="AF2" s="28"/>
      <c r="AG2" s="45"/>
    </row>
    <row r="3" spans="1:33" ht="12.75">
      <c r="A3" s="36" t="s">
        <v>187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4"/>
      <c r="AF3" s="15"/>
      <c r="AG3" s="48"/>
    </row>
    <row r="4" spans="1:37" ht="12.75">
      <c r="A4" s="4" t="s">
        <v>261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4"/>
      <c r="AF4" s="15"/>
      <c r="AG4" s="48" t="s">
        <v>213</v>
      </c>
      <c r="AI4" s="78" t="s">
        <v>218</v>
      </c>
      <c r="AK4" s="78" t="s">
        <v>221</v>
      </c>
    </row>
    <row r="5" spans="1:3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14"/>
      <c r="AF5" s="15"/>
      <c r="AG5" s="48"/>
    </row>
    <row r="6" spans="1:39" ht="12.75">
      <c r="A6" s="8"/>
      <c r="B6" s="8"/>
      <c r="C6" s="8" t="s">
        <v>188</v>
      </c>
      <c r="D6" s="8"/>
      <c r="E6" s="8"/>
      <c r="F6" s="8"/>
      <c r="G6" s="8" t="s">
        <v>84</v>
      </c>
      <c r="H6" s="8"/>
      <c r="I6" s="8" t="s">
        <v>84</v>
      </c>
      <c r="J6" s="8"/>
      <c r="K6" s="8"/>
      <c r="L6" s="8"/>
      <c r="M6" s="8" t="s">
        <v>85</v>
      </c>
      <c r="N6" s="8"/>
      <c r="O6" s="8" t="s">
        <v>165</v>
      </c>
      <c r="P6" s="8"/>
      <c r="Q6" s="8" t="s">
        <v>86</v>
      </c>
      <c r="R6" s="8"/>
      <c r="S6" s="8" t="s">
        <v>99</v>
      </c>
      <c r="T6" s="8"/>
      <c r="U6" s="8" t="s">
        <v>87</v>
      </c>
      <c r="V6" s="8"/>
      <c r="W6" s="8" t="s">
        <v>1</v>
      </c>
      <c r="X6" s="8"/>
      <c r="Y6" s="8"/>
      <c r="Z6" s="8"/>
      <c r="AA6" s="8" t="s">
        <v>100</v>
      </c>
      <c r="AB6" s="8"/>
      <c r="AC6" s="4"/>
      <c r="AD6" s="4"/>
      <c r="AE6" s="14" t="s">
        <v>101</v>
      </c>
      <c r="AF6" s="15"/>
      <c r="AG6" s="49" t="s">
        <v>217</v>
      </c>
      <c r="AH6" s="16"/>
      <c r="AI6" s="16" t="s">
        <v>219</v>
      </c>
      <c r="AJ6" s="16"/>
      <c r="AK6" s="16" t="s">
        <v>222</v>
      </c>
      <c r="AL6" s="16"/>
      <c r="AM6" s="16" t="s">
        <v>224</v>
      </c>
    </row>
    <row r="7" spans="1:39" ht="12.75">
      <c r="A7" s="32" t="s">
        <v>5</v>
      </c>
      <c r="B7" s="4"/>
      <c r="C7" s="32" t="s">
        <v>189</v>
      </c>
      <c r="D7" s="4"/>
      <c r="E7" s="32" t="s">
        <v>88</v>
      </c>
      <c r="F7" s="4"/>
      <c r="G7" s="32" t="s">
        <v>89</v>
      </c>
      <c r="H7" s="4"/>
      <c r="I7" s="32" t="s">
        <v>90</v>
      </c>
      <c r="J7" s="4"/>
      <c r="K7" s="32" t="s">
        <v>91</v>
      </c>
      <c r="L7" s="4"/>
      <c r="M7" s="32" t="s">
        <v>8</v>
      </c>
      <c r="N7" s="4"/>
      <c r="O7" s="32" t="s">
        <v>166</v>
      </c>
      <c r="P7" s="4"/>
      <c r="Q7" s="32" t="s">
        <v>192</v>
      </c>
      <c r="R7" s="4"/>
      <c r="S7" s="32" t="s">
        <v>92</v>
      </c>
      <c r="T7" s="4"/>
      <c r="U7" s="32" t="s">
        <v>93</v>
      </c>
      <c r="V7" s="4"/>
      <c r="W7" s="32" t="s">
        <v>9</v>
      </c>
      <c r="X7" s="4"/>
      <c r="Y7" s="32" t="s">
        <v>94</v>
      </c>
      <c r="Z7" s="4"/>
      <c r="AA7" s="32" t="s">
        <v>95</v>
      </c>
      <c r="AB7" s="4"/>
      <c r="AC7" s="32" t="s">
        <v>4</v>
      </c>
      <c r="AD7" s="4"/>
      <c r="AE7" s="14" t="s">
        <v>92</v>
      </c>
      <c r="AF7" s="15"/>
      <c r="AG7" s="49" t="s">
        <v>214</v>
      </c>
      <c r="AH7" s="16"/>
      <c r="AI7" s="16" t="s">
        <v>220</v>
      </c>
      <c r="AJ7" s="16"/>
      <c r="AK7" s="16" t="s">
        <v>223</v>
      </c>
      <c r="AL7" s="16"/>
      <c r="AM7" s="16" t="s">
        <v>225</v>
      </c>
    </row>
    <row r="8" spans="1:39" ht="12.75" hidden="1">
      <c r="A8" s="76" t="s">
        <v>251</v>
      </c>
      <c r="B8" s="4"/>
      <c r="C8" s="27">
        <v>0</v>
      </c>
      <c r="D8" s="27"/>
      <c r="E8" s="27">
        <v>0</v>
      </c>
      <c r="F8" s="27"/>
      <c r="G8" s="27">
        <v>0</v>
      </c>
      <c r="H8" s="27"/>
      <c r="I8" s="27">
        <v>0</v>
      </c>
      <c r="J8" s="27"/>
      <c r="K8" s="27">
        <v>0</v>
      </c>
      <c r="L8" s="27"/>
      <c r="M8" s="27">
        <v>0</v>
      </c>
      <c r="N8" s="27"/>
      <c r="O8" s="27">
        <v>0</v>
      </c>
      <c r="P8" s="27"/>
      <c r="Q8" s="27">
        <v>0</v>
      </c>
      <c r="R8" s="27"/>
      <c r="S8" s="27">
        <v>0</v>
      </c>
      <c r="T8" s="27"/>
      <c r="U8" s="27">
        <v>0</v>
      </c>
      <c r="V8" s="27"/>
      <c r="W8" s="27">
        <v>0</v>
      </c>
      <c r="X8" s="27"/>
      <c r="Y8" s="27">
        <v>0</v>
      </c>
      <c r="Z8" s="27"/>
      <c r="AA8" s="27">
        <v>0</v>
      </c>
      <c r="AB8" s="27"/>
      <c r="AC8" s="27">
        <f>SUM(C8:AA8)</f>
        <v>0</v>
      </c>
      <c r="AD8" s="13"/>
      <c r="AE8" s="86">
        <f>SUM(C8:S8)</f>
        <v>0</v>
      </c>
      <c r="AF8" s="15"/>
      <c r="AG8" s="27">
        <v>0</v>
      </c>
      <c r="AH8" s="16"/>
      <c r="AI8" s="27">
        <v>0</v>
      </c>
      <c r="AJ8" s="16"/>
      <c r="AK8" s="16">
        <v>0</v>
      </c>
      <c r="AL8" s="16"/>
      <c r="AM8" s="16">
        <f>+'Gov Fd Rv'!Q8+'Gov Fd Rv'!S8-'Gov Fnd Exp'!AC8-AG8+AI8-'Gov Fd BS'!O9+AK8</f>
        <v>0</v>
      </c>
    </row>
    <row r="9" spans="1:39" ht="12.75">
      <c r="A9" s="14" t="s">
        <v>13</v>
      </c>
      <c r="B9" s="14"/>
      <c r="C9" s="27">
        <v>14845157</v>
      </c>
      <c r="D9" s="27"/>
      <c r="E9" s="27">
        <v>8474306</v>
      </c>
      <c r="F9" s="27"/>
      <c r="G9" s="27">
        <v>10224025</v>
      </c>
      <c r="H9" s="27"/>
      <c r="I9" s="27">
        <v>9333801</v>
      </c>
      <c r="J9" s="27"/>
      <c r="K9" s="27">
        <v>11646349</v>
      </c>
      <c r="L9" s="27"/>
      <c r="M9" s="27">
        <v>19441582</v>
      </c>
      <c r="N9" s="27"/>
      <c r="O9" s="27">
        <v>0</v>
      </c>
      <c r="P9" s="27"/>
      <c r="Q9" s="27">
        <v>1630412</v>
      </c>
      <c r="R9" s="27"/>
      <c r="S9" s="27">
        <v>47175</v>
      </c>
      <c r="T9" s="27"/>
      <c r="U9" s="27">
        <v>3155339</v>
      </c>
      <c r="V9" s="27"/>
      <c r="W9" s="27">
        <v>194523</v>
      </c>
      <c r="X9" s="27"/>
      <c r="Y9" s="27">
        <v>7020458</v>
      </c>
      <c r="Z9" s="27"/>
      <c r="AA9" s="27">
        <v>1100302</v>
      </c>
      <c r="AB9" s="27"/>
      <c r="AC9" s="27">
        <f>SUM(C9:AA9)</f>
        <v>87113429</v>
      </c>
      <c r="AD9" s="13"/>
      <c r="AE9" s="86">
        <f>SUM(C9:S9)</f>
        <v>75642807</v>
      </c>
      <c r="AF9" s="15"/>
      <c r="AG9" s="27">
        <f>1933386</f>
        <v>1933386</v>
      </c>
      <c r="AH9" s="16"/>
      <c r="AI9" s="27">
        <v>35986790</v>
      </c>
      <c r="AJ9" s="16"/>
      <c r="AK9" s="16">
        <v>0</v>
      </c>
      <c r="AL9" s="16"/>
      <c r="AM9" s="16">
        <f>+'Gov Fd Rv'!Q9+'Gov Fd Rv'!S9-'Gov Fnd Exp'!AC9-AG9+AI9-'Gov Fd BS'!O10+AK9</f>
        <v>0</v>
      </c>
    </row>
    <row r="10" spans="1:40" ht="12.75">
      <c r="A10" s="14" t="s">
        <v>14</v>
      </c>
      <c r="B10" s="14"/>
      <c r="C10" s="13">
        <v>5666037</v>
      </c>
      <c r="D10" s="13"/>
      <c r="E10" s="13">
        <v>1559717</v>
      </c>
      <c r="F10" s="13"/>
      <c r="G10" s="13">
        <f>5590678+316474</f>
        <v>5907152</v>
      </c>
      <c r="H10" s="13"/>
      <c r="I10" s="13">
        <f>3990206</f>
        <v>3990206</v>
      </c>
      <c r="J10" s="13"/>
      <c r="K10" s="13">
        <f>4689660+5362360+473195</f>
        <v>10525215</v>
      </c>
      <c r="L10" s="13"/>
      <c r="M10" s="13">
        <f>1327512+3792751+1504443</f>
        <v>6624706</v>
      </c>
      <c r="N10" s="13"/>
      <c r="O10" s="13">
        <v>0</v>
      </c>
      <c r="P10" s="13"/>
      <c r="Q10" s="13">
        <v>40800</v>
      </c>
      <c r="R10" s="13"/>
      <c r="S10" s="13">
        <v>0</v>
      </c>
      <c r="T10" s="13"/>
      <c r="U10" s="13">
        <v>0</v>
      </c>
      <c r="V10" s="13"/>
      <c r="W10" s="13">
        <v>235135</v>
      </c>
      <c r="X10" s="13"/>
      <c r="Y10" s="13">
        <v>435000</v>
      </c>
      <c r="Z10" s="13"/>
      <c r="AA10" s="13">
        <v>240123</v>
      </c>
      <c r="AB10" s="13"/>
      <c r="AC10" s="13">
        <f aca="true" t="shared" si="0" ref="AC10:AC26">SUM(C10:AA10)</f>
        <v>35224091</v>
      </c>
      <c r="AD10" s="13"/>
      <c r="AE10" s="86">
        <f aca="true" t="shared" si="1" ref="AE10:AE26">SUM(C10:S10)</f>
        <v>34313833</v>
      </c>
      <c r="AF10" s="15"/>
      <c r="AG10" s="13">
        <v>1961050</v>
      </c>
      <c r="AH10" s="16"/>
      <c r="AI10" s="13">
        <v>14553395</v>
      </c>
      <c r="AJ10" s="16"/>
      <c r="AK10" s="16">
        <v>0</v>
      </c>
      <c r="AL10" s="16"/>
      <c r="AM10" s="16">
        <f>+'Gov Fd Rv'!Q10+'Gov Fd Rv'!S10-'Gov Fnd Exp'!AC10-AG10+AI10-'Gov Fd BS'!O11+AK10</f>
        <v>0</v>
      </c>
      <c r="AN10" s="78" t="s">
        <v>231</v>
      </c>
    </row>
    <row r="11" spans="1:39" ht="12.75">
      <c r="A11" s="14" t="s">
        <v>15</v>
      </c>
      <c r="B11" s="14"/>
      <c r="C11" s="13">
        <v>8606728</v>
      </c>
      <c r="D11" s="13"/>
      <c r="E11" s="13">
        <v>3542534</v>
      </c>
      <c r="F11" s="13"/>
      <c r="G11" s="13">
        <v>8911144</v>
      </c>
      <c r="H11" s="13"/>
      <c r="I11" s="13">
        <v>8321339</v>
      </c>
      <c r="J11" s="13"/>
      <c r="K11" s="13">
        <v>24520986</v>
      </c>
      <c r="L11" s="13"/>
      <c r="M11" s="13">
        <v>35852000</v>
      </c>
      <c r="N11" s="13"/>
      <c r="O11" s="13">
        <v>0</v>
      </c>
      <c r="P11" s="13"/>
      <c r="Q11" s="13">
        <v>341995</v>
      </c>
      <c r="R11" s="13"/>
      <c r="S11" s="13">
        <v>7112464</v>
      </c>
      <c r="T11" s="13"/>
      <c r="U11" s="13">
        <v>261181</v>
      </c>
      <c r="V11" s="13"/>
      <c r="W11" s="13">
        <v>0</v>
      </c>
      <c r="X11" s="13"/>
      <c r="Y11" s="13">
        <v>1129250</v>
      </c>
      <c r="Z11" s="13"/>
      <c r="AA11" s="13">
        <v>337653</v>
      </c>
      <c r="AB11" s="13"/>
      <c r="AC11" s="13">
        <f t="shared" si="0"/>
        <v>98937274</v>
      </c>
      <c r="AD11" s="13"/>
      <c r="AE11" s="86">
        <f t="shared" si="1"/>
        <v>97209190</v>
      </c>
      <c r="AF11" s="15"/>
      <c r="AG11" s="13">
        <f>44228+6194964</f>
        <v>6239192</v>
      </c>
      <c r="AH11" s="16"/>
      <c r="AI11" s="13">
        <v>34170395</v>
      </c>
      <c r="AJ11" s="16"/>
      <c r="AK11" s="16">
        <v>0</v>
      </c>
      <c r="AL11" s="16"/>
      <c r="AM11" s="16">
        <f>+'Gov Fd Rv'!Q11+'Gov Fd Rv'!S11-'Gov Fnd Exp'!AC11-AG11+AI11-'Gov Fd BS'!O12+AK11</f>
        <v>0</v>
      </c>
    </row>
    <row r="12" spans="1:39" ht="12.75">
      <c r="A12" s="14" t="s">
        <v>16</v>
      </c>
      <c r="B12" s="14"/>
      <c r="C12" s="13">
        <v>5458138</v>
      </c>
      <c r="D12" s="13"/>
      <c r="E12" s="13">
        <v>2498177</v>
      </c>
      <c r="F12" s="13"/>
      <c r="G12" s="13">
        <v>4326953</v>
      </c>
      <c r="H12" s="13"/>
      <c r="I12" s="13">
        <v>5680193</v>
      </c>
      <c r="J12" s="13"/>
      <c r="K12" s="13">
        <v>2567125</v>
      </c>
      <c r="L12" s="13"/>
      <c r="M12" s="13">
        <v>27867281</v>
      </c>
      <c r="N12" s="13"/>
      <c r="O12" s="13">
        <v>0</v>
      </c>
      <c r="P12" s="13"/>
      <c r="Q12" s="13">
        <v>12384</v>
      </c>
      <c r="R12" s="13"/>
      <c r="S12" s="13">
        <v>213883</v>
      </c>
      <c r="T12" s="13"/>
      <c r="U12" s="13">
        <v>823174</v>
      </c>
      <c r="V12" s="13"/>
      <c r="W12" s="13">
        <v>0</v>
      </c>
      <c r="X12" s="13"/>
      <c r="Y12" s="13">
        <f>471985</f>
        <v>471985</v>
      </c>
      <c r="Z12" s="13"/>
      <c r="AA12" s="13">
        <v>179567</v>
      </c>
      <c r="AB12" s="13"/>
      <c r="AC12" s="13">
        <f t="shared" si="0"/>
        <v>50098860</v>
      </c>
      <c r="AD12" s="13"/>
      <c r="AE12" s="86">
        <f t="shared" si="1"/>
        <v>48624134</v>
      </c>
      <c r="AF12" s="15"/>
      <c r="AG12" s="13">
        <v>1650378</v>
      </c>
      <c r="AH12" s="16"/>
      <c r="AI12" s="13">
        <v>14252978</v>
      </c>
      <c r="AJ12" s="16"/>
      <c r="AK12" s="16">
        <v>0</v>
      </c>
      <c r="AL12" s="16"/>
      <c r="AM12" s="16">
        <f>+'Gov Fd Rv'!Q12+'Gov Fd Rv'!S12-'Gov Fnd Exp'!AC12-AG12+AI12-'Gov Fd BS'!O13+AK12</f>
        <v>0</v>
      </c>
    </row>
    <row r="13" spans="1:39" ht="12.75" customHeight="1">
      <c r="A13" s="14" t="s">
        <v>17</v>
      </c>
      <c r="B13" s="14"/>
      <c r="C13" s="13">
        <v>3136797</v>
      </c>
      <c r="D13" s="13"/>
      <c r="E13" s="13">
        <v>1831810</v>
      </c>
      <c r="F13" s="13"/>
      <c r="G13" s="13">
        <v>5426859</v>
      </c>
      <c r="H13" s="13"/>
      <c r="I13" s="13">
        <v>5438701</v>
      </c>
      <c r="J13" s="13"/>
      <c r="K13" s="13">
        <v>5341212</v>
      </c>
      <c r="L13" s="13"/>
      <c r="M13" s="13">
        <v>4575463</v>
      </c>
      <c r="N13" s="13"/>
      <c r="O13" s="13">
        <v>0</v>
      </c>
      <c r="P13" s="13"/>
      <c r="Q13" s="13">
        <v>0</v>
      </c>
      <c r="R13" s="13"/>
      <c r="S13" s="13">
        <v>1189582</v>
      </c>
      <c r="T13" s="13"/>
      <c r="U13" s="13">
        <v>475791</v>
      </c>
      <c r="V13" s="13"/>
      <c r="W13" s="13">
        <v>0</v>
      </c>
      <c r="X13" s="13"/>
      <c r="Y13" s="13">
        <v>1042564</v>
      </c>
      <c r="Z13" s="13"/>
      <c r="AA13" s="13">
        <v>155786</v>
      </c>
      <c r="AB13" s="13"/>
      <c r="AC13" s="13">
        <f t="shared" si="0"/>
        <v>28614565</v>
      </c>
      <c r="AD13" s="13"/>
      <c r="AE13" s="86">
        <f t="shared" si="1"/>
        <v>26940424</v>
      </c>
      <c r="AF13" s="15"/>
      <c r="AG13" s="13">
        <f>647115+788184</f>
        <v>1435299</v>
      </c>
      <c r="AH13" s="16"/>
      <c r="AI13" s="13">
        <v>17833181</v>
      </c>
      <c r="AJ13" s="16"/>
      <c r="AK13" s="16">
        <v>0</v>
      </c>
      <c r="AL13" s="16"/>
      <c r="AM13" s="16">
        <f>+'Gov Fd Rv'!Q13+'Gov Fd Rv'!S13-'Gov Fnd Exp'!AC13-AG13+AI13-'Gov Fd BS'!O14+AK13</f>
        <v>0</v>
      </c>
    </row>
    <row r="14" spans="1:39" ht="12.75">
      <c r="A14" s="14" t="s">
        <v>18</v>
      </c>
      <c r="B14" s="14"/>
      <c r="C14" s="13">
        <v>8118510</v>
      </c>
      <c r="D14" s="13"/>
      <c r="E14" s="13">
        <v>3140869</v>
      </c>
      <c r="F14" s="13"/>
      <c r="G14" s="13">
        <v>8070246</v>
      </c>
      <c r="H14" s="13"/>
      <c r="I14" s="13">
        <v>5915257</v>
      </c>
      <c r="J14" s="13"/>
      <c r="K14" s="13">
        <v>9636473</v>
      </c>
      <c r="L14" s="13"/>
      <c r="M14" s="13">
        <v>20139307</v>
      </c>
      <c r="N14" s="13"/>
      <c r="O14" s="13">
        <v>270011</v>
      </c>
      <c r="P14" s="13"/>
      <c r="Q14" s="13">
        <v>0</v>
      </c>
      <c r="R14" s="13"/>
      <c r="S14" s="13">
        <v>52060</v>
      </c>
      <c r="T14" s="13"/>
      <c r="U14" s="13">
        <v>3856669</v>
      </c>
      <c r="V14" s="13"/>
      <c r="W14" s="13">
        <v>1438157</v>
      </c>
      <c r="X14" s="13"/>
      <c r="Y14" s="13">
        <v>1962652</v>
      </c>
      <c r="Z14" s="13"/>
      <c r="AA14" s="13">
        <f>452808+142366</f>
        <v>595174</v>
      </c>
      <c r="AB14" s="13"/>
      <c r="AC14" s="13">
        <f t="shared" si="0"/>
        <v>63195385</v>
      </c>
      <c r="AD14" s="13"/>
      <c r="AE14" s="86">
        <f t="shared" si="1"/>
        <v>55342733</v>
      </c>
      <c r="AF14" s="15"/>
      <c r="AG14" s="13">
        <f>1736223+2000000+4790022</f>
        <v>8526245</v>
      </c>
      <c r="AH14" s="16"/>
      <c r="AI14" s="13">
        <v>31071565</v>
      </c>
      <c r="AJ14" s="16"/>
      <c r="AK14" s="16">
        <v>0</v>
      </c>
      <c r="AL14" s="16"/>
      <c r="AM14" s="16">
        <f>+'Gov Fd Rv'!Q14+'Gov Fd Rv'!S14-'Gov Fnd Exp'!AC14-AG14+AI14-'Gov Fd BS'!O15+AK14</f>
        <v>0</v>
      </c>
    </row>
    <row r="15" spans="1:39" ht="12.75" hidden="1">
      <c r="A15" s="14" t="s">
        <v>254</v>
      </c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>
        <f t="shared" si="0"/>
        <v>0</v>
      </c>
      <c r="AD15" s="13"/>
      <c r="AE15" s="86">
        <f t="shared" si="1"/>
        <v>0</v>
      </c>
      <c r="AF15" s="15"/>
      <c r="AG15" s="13"/>
      <c r="AH15" s="16"/>
      <c r="AI15" s="13"/>
      <c r="AJ15" s="16"/>
      <c r="AK15" s="16"/>
      <c r="AL15" s="16"/>
      <c r="AM15" s="16">
        <f>+'Gov Fd Rv'!Q15+'Gov Fd Rv'!S15-'Gov Fnd Exp'!AC15-AG15+AI15-'Gov Fd BS'!O16+AK15</f>
        <v>0</v>
      </c>
    </row>
    <row r="16" spans="1:39" ht="12.75">
      <c r="A16" s="14" t="s">
        <v>19</v>
      </c>
      <c r="B16" s="14"/>
      <c r="C16" s="13">
        <v>28864871</v>
      </c>
      <c r="D16" s="13"/>
      <c r="E16" s="13">
        <v>15614805</v>
      </c>
      <c r="F16" s="13"/>
      <c r="G16" s="13">
        <v>48197839</v>
      </c>
      <c r="H16" s="13"/>
      <c r="I16" s="13">
        <v>22258619</v>
      </c>
      <c r="J16" s="13"/>
      <c r="K16" s="13">
        <v>55828433</v>
      </c>
      <c r="L16" s="13"/>
      <c r="M16" s="13">
        <v>82122458</v>
      </c>
      <c r="N16" s="13"/>
      <c r="O16" s="13">
        <v>0</v>
      </c>
      <c r="P16" s="13"/>
      <c r="Q16" s="13">
        <v>589151</v>
      </c>
      <c r="R16" s="13"/>
      <c r="S16" s="13">
        <v>0</v>
      </c>
      <c r="T16" s="13"/>
      <c r="U16" s="13">
        <v>748995</v>
      </c>
      <c r="V16" s="13"/>
      <c r="W16" s="13">
        <v>0</v>
      </c>
      <c r="X16" s="13"/>
      <c r="Y16" s="13">
        <v>21760855</v>
      </c>
      <c r="Z16" s="13"/>
      <c r="AA16" s="13">
        <f>5735766+245108</f>
        <v>5980874</v>
      </c>
      <c r="AB16" s="13"/>
      <c r="AC16" s="13">
        <f t="shared" si="0"/>
        <v>281966900</v>
      </c>
      <c r="AD16" s="13"/>
      <c r="AE16" s="86">
        <f t="shared" si="1"/>
        <v>253476176</v>
      </c>
      <c r="AF16" s="15"/>
      <c r="AG16" s="13">
        <v>7928785</v>
      </c>
      <c r="AH16" s="16"/>
      <c r="AI16" s="13">
        <v>75698465</v>
      </c>
      <c r="AJ16" s="16"/>
      <c r="AK16" s="16">
        <v>0</v>
      </c>
      <c r="AL16" s="16"/>
      <c r="AM16" s="16">
        <f>+'Gov Fd Rv'!Q16+'Gov Fd Rv'!S16-'Gov Fnd Exp'!AC16-AG16+AI16-'Gov Fd BS'!O17+AK16</f>
        <v>0</v>
      </c>
    </row>
    <row r="17" spans="1:39" ht="12.75">
      <c r="A17" s="14" t="s">
        <v>20</v>
      </c>
      <c r="B17" s="14"/>
      <c r="C17" s="13">
        <v>2870033</v>
      </c>
      <c r="D17" s="13"/>
      <c r="E17" s="13">
        <v>984320</v>
      </c>
      <c r="F17" s="13"/>
      <c r="G17" s="13">
        <v>2267547</v>
      </c>
      <c r="H17" s="13"/>
      <c r="I17" s="13">
        <v>4229772</v>
      </c>
      <c r="J17" s="13"/>
      <c r="K17" s="13">
        <v>3942572</v>
      </c>
      <c r="L17" s="13"/>
      <c r="M17" s="13">
        <v>5798641</v>
      </c>
      <c r="N17" s="13"/>
      <c r="O17" s="13">
        <f>505954+240988</f>
        <v>746942</v>
      </c>
      <c r="P17" s="13"/>
      <c r="Q17" s="13">
        <v>0</v>
      </c>
      <c r="R17" s="13"/>
      <c r="S17" s="13">
        <v>765680</v>
      </c>
      <c r="T17" s="13"/>
      <c r="U17" s="13">
        <v>710738</v>
      </c>
      <c r="V17" s="13"/>
      <c r="W17" s="13">
        <v>0</v>
      </c>
      <c r="X17" s="13"/>
      <c r="Y17" s="13">
        <v>91082</v>
      </c>
      <c r="Z17" s="13"/>
      <c r="AA17" s="13">
        <v>12468</v>
      </c>
      <c r="AB17" s="13"/>
      <c r="AC17" s="13">
        <f t="shared" si="0"/>
        <v>22419795</v>
      </c>
      <c r="AD17" s="13"/>
      <c r="AE17" s="86">
        <f t="shared" si="1"/>
        <v>21605507</v>
      </c>
      <c r="AF17" s="15"/>
      <c r="AG17" s="13">
        <v>92726</v>
      </c>
      <c r="AH17" s="16"/>
      <c r="AI17" s="13">
        <v>5427228</v>
      </c>
      <c r="AJ17" s="16"/>
      <c r="AK17" s="16">
        <v>0</v>
      </c>
      <c r="AL17" s="16"/>
      <c r="AM17" s="16">
        <f>+'Gov Fd Rv'!Q17+'Gov Fd Rv'!S17-'Gov Fnd Exp'!AC17-AG17+AI17-'Gov Fd BS'!O18+AK17</f>
        <v>0</v>
      </c>
    </row>
    <row r="18" spans="1:39" ht="12.75" hidden="1">
      <c r="A18" s="4" t="s">
        <v>173</v>
      </c>
      <c r="B18" s="4"/>
      <c r="C18" s="13">
        <v>0</v>
      </c>
      <c r="D18" s="13"/>
      <c r="E18" s="13">
        <v>0</v>
      </c>
      <c r="F18" s="13"/>
      <c r="G18" s="13">
        <v>0</v>
      </c>
      <c r="H18" s="13"/>
      <c r="I18" s="13">
        <v>0</v>
      </c>
      <c r="J18" s="13"/>
      <c r="K18" s="13">
        <v>0</v>
      </c>
      <c r="L18" s="13"/>
      <c r="M18" s="13">
        <v>0</v>
      </c>
      <c r="N18" s="13"/>
      <c r="O18" s="13">
        <v>0</v>
      </c>
      <c r="P18" s="13"/>
      <c r="Q18" s="13">
        <v>0</v>
      </c>
      <c r="R18" s="13"/>
      <c r="S18" s="13">
        <v>0</v>
      </c>
      <c r="T18" s="13"/>
      <c r="U18" s="13">
        <v>0</v>
      </c>
      <c r="V18" s="13"/>
      <c r="W18" s="13">
        <v>0</v>
      </c>
      <c r="X18" s="13"/>
      <c r="Y18" s="13">
        <v>0</v>
      </c>
      <c r="Z18" s="13"/>
      <c r="AA18" s="13">
        <v>0</v>
      </c>
      <c r="AB18" s="13"/>
      <c r="AC18" s="13">
        <f t="shared" si="0"/>
        <v>0</v>
      </c>
      <c r="AD18" s="13"/>
      <c r="AE18" s="86">
        <f t="shared" si="1"/>
        <v>0</v>
      </c>
      <c r="AF18" s="15"/>
      <c r="AG18" s="13">
        <v>0</v>
      </c>
      <c r="AH18" s="16"/>
      <c r="AI18" s="13">
        <v>0</v>
      </c>
      <c r="AJ18" s="16"/>
      <c r="AK18" s="16">
        <v>0</v>
      </c>
      <c r="AL18" s="16"/>
      <c r="AM18" s="16">
        <f>+'Gov Fd Rv'!Q18+'Gov Fd Rv'!S18-'Gov Fnd Exp'!AC18-AG18+AI18-'Gov Fd BS'!O19+AK18</f>
        <v>0</v>
      </c>
    </row>
    <row r="19" spans="1:39" ht="12.75">
      <c r="A19" s="14" t="s">
        <v>21</v>
      </c>
      <c r="B19" s="14"/>
      <c r="C19" s="13">
        <v>6283168</v>
      </c>
      <c r="D19" s="13"/>
      <c r="E19" s="13">
        <v>9030920</v>
      </c>
      <c r="F19" s="13"/>
      <c r="G19" s="13">
        <v>16825459</v>
      </c>
      <c r="H19" s="13"/>
      <c r="I19" s="13">
        <v>11756848</v>
      </c>
      <c r="J19" s="13"/>
      <c r="K19" s="13">
        <v>23030748</v>
      </c>
      <c r="L19" s="13"/>
      <c r="M19" s="13">
        <v>43846980</v>
      </c>
      <c r="N19" s="13"/>
      <c r="O19" s="13">
        <v>0</v>
      </c>
      <c r="P19" s="13"/>
      <c r="Q19" s="13">
        <v>2043489</v>
      </c>
      <c r="R19" s="13"/>
      <c r="S19" s="13">
        <v>0</v>
      </c>
      <c r="T19" s="13"/>
      <c r="U19" s="13">
        <v>3441149</v>
      </c>
      <c r="V19" s="13"/>
      <c r="W19" s="13">
        <v>0</v>
      </c>
      <c r="X19" s="13"/>
      <c r="Y19" s="13">
        <v>860000</v>
      </c>
      <c r="Z19" s="13"/>
      <c r="AA19" s="13">
        <v>467652</v>
      </c>
      <c r="AB19" s="13"/>
      <c r="AC19" s="13">
        <f t="shared" si="0"/>
        <v>117586413</v>
      </c>
      <c r="AD19" s="13"/>
      <c r="AE19" s="86">
        <f>SUM(C19:S19)</f>
        <v>112817612</v>
      </c>
      <c r="AF19" s="15"/>
      <c r="AG19" s="13">
        <f>544433+23820912</f>
        <v>24365345</v>
      </c>
      <c r="AH19" s="16"/>
      <c r="AI19" s="13">
        <v>17166244</v>
      </c>
      <c r="AJ19" s="16"/>
      <c r="AK19" s="16">
        <v>0</v>
      </c>
      <c r="AL19" s="16"/>
      <c r="AM19" s="16">
        <f>+'Gov Fd Rv'!Q19+'Gov Fd Rv'!S19-'Gov Fnd Exp'!AC19-AG19+AI19-'Gov Fd BS'!O20+AK19</f>
        <v>0</v>
      </c>
    </row>
    <row r="20" spans="1:39" ht="12.75">
      <c r="A20" s="14" t="s">
        <v>184</v>
      </c>
      <c r="B20" s="23"/>
      <c r="C20" s="13">
        <v>19087739</v>
      </c>
      <c r="D20" s="13"/>
      <c r="E20" s="13">
        <v>9690225</v>
      </c>
      <c r="F20" s="13"/>
      <c r="G20" s="13">
        <v>25281274</v>
      </c>
      <c r="H20" s="13"/>
      <c r="I20" s="13">
        <v>12267434</v>
      </c>
      <c r="J20" s="13"/>
      <c r="K20" s="13">
        <v>912765</v>
      </c>
      <c r="L20" s="13"/>
      <c r="M20" s="13">
        <v>36199138</v>
      </c>
      <c r="N20" s="13"/>
      <c r="O20" s="13">
        <f>398876+8986345</f>
        <v>9385221</v>
      </c>
      <c r="P20" s="13"/>
      <c r="Q20" s="13">
        <v>0</v>
      </c>
      <c r="R20" s="13"/>
      <c r="S20" s="13">
        <v>2127801</v>
      </c>
      <c r="T20" s="13"/>
      <c r="U20" s="13">
        <v>6710660</v>
      </c>
      <c r="V20" s="13"/>
      <c r="W20" s="13">
        <v>1296354</v>
      </c>
      <c r="X20" s="13"/>
      <c r="Y20" s="13">
        <v>4123941</v>
      </c>
      <c r="Z20" s="13"/>
      <c r="AA20" s="13">
        <v>1316205</v>
      </c>
      <c r="AB20" s="13"/>
      <c r="AC20" s="13">
        <f t="shared" si="0"/>
        <v>128398757</v>
      </c>
      <c r="AD20" s="13"/>
      <c r="AE20" s="86">
        <f t="shared" si="1"/>
        <v>114951597</v>
      </c>
      <c r="AF20" s="15"/>
      <c r="AG20" s="13">
        <f>8413178+6800</f>
        <v>8419978</v>
      </c>
      <c r="AH20" s="16"/>
      <c r="AI20" s="13">
        <v>59818087</v>
      </c>
      <c r="AJ20" s="16"/>
      <c r="AK20" s="16">
        <v>0</v>
      </c>
      <c r="AL20" s="16"/>
      <c r="AM20" s="16">
        <f>+'Gov Fd Rv'!Q20+'Gov Fd Rv'!S20-'Gov Fnd Exp'!AC20-AG20+AI20-'Gov Fd BS'!O21+AK20</f>
        <v>0</v>
      </c>
    </row>
    <row r="21" spans="1:39" ht="12.75">
      <c r="A21" s="14" t="s">
        <v>22</v>
      </c>
      <c r="B21" s="14"/>
      <c r="C21" s="13">
        <v>6075642</v>
      </c>
      <c r="D21" s="13"/>
      <c r="E21" s="13">
        <v>2616305</v>
      </c>
      <c r="F21" s="13"/>
      <c r="G21" s="13">
        <v>4195807</v>
      </c>
      <c r="H21" s="13"/>
      <c r="I21" s="13">
        <v>5474600</v>
      </c>
      <c r="J21" s="13"/>
      <c r="K21" s="13">
        <v>3910302</v>
      </c>
      <c r="L21" s="13"/>
      <c r="M21" s="13">
        <v>8251513</v>
      </c>
      <c r="N21" s="13"/>
      <c r="O21" s="13">
        <v>1580198</v>
      </c>
      <c r="P21" s="13"/>
      <c r="Q21" s="13">
        <v>0</v>
      </c>
      <c r="R21" s="13"/>
      <c r="S21" s="13">
        <v>766961</v>
      </c>
      <c r="T21" s="13"/>
      <c r="U21" s="13">
        <v>4953353</v>
      </c>
      <c r="V21" s="13"/>
      <c r="W21" s="13">
        <v>0</v>
      </c>
      <c r="X21" s="13"/>
      <c r="Y21" s="13">
        <v>6442316</v>
      </c>
      <c r="Z21" s="13"/>
      <c r="AA21" s="13">
        <v>404529</v>
      </c>
      <c r="AB21" s="13"/>
      <c r="AC21" s="13">
        <f t="shared" si="0"/>
        <v>44671526</v>
      </c>
      <c r="AD21" s="13"/>
      <c r="AE21" s="86">
        <f t="shared" si="1"/>
        <v>32871328</v>
      </c>
      <c r="AF21" s="15"/>
      <c r="AG21" s="13">
        <f>493148+1793552</f>
        <v>2286700</v>
      </c>
      <c r="AH21" s="16"/>
      <c r="AI21" s="13">
        <v>8785506</v>
      </c>
      <c r="AJ21" s="16"/>
      <c r="AK21" s="16">
        <v>0</v>
      </c>
      <c r="AL21" s="16"/>
      <c r="AM21" s="16">
        <f>+'Gov Fd Rv'!Q21+'Gov Fd Rv'!S21-'Gov Fnd Exp'!AC21-AG21+AI21-'Gov Fd BS'!O22+AK21</f>
        <v>0</v>
      </c>
    </row>
    <row r="22" spans="1:39" ht="12.75" hidden="1">
      <c r="A22" s="14" t="s">
        <v>23</v>
      </c>
      <c r="B22" s="14"/>
      <c r="C22" s="13">
        <v>0</v>
      </c>
      <c r="D22" s="13"/>
      <c r="E22" s="13">
        <v>0</v>
      </c>
      <c r="F22" s="13"/>
      <c r="G22" s="13">
        <v>0</v>
      </c>
      <c r="H22" s="13"/>
      <c r="I22" s="13">
        <v>0</v>
      </c>
      <c r="J22" s="13"/>
      <c r="K22" s="13">
        <v>0</v>
      </c>
      <c r="L22" s="13"/>
      <c r="M22" s="13">
        <v>0</v>
      </c>
      <c r="N22" s="13"/>
      <c r="O22" s="13">
        <v>0</v>
      </c>
      <c r="P22" s="13"/>
      <c r="Q22" s="13">
        <v>0</v>
      </c>
      <c r="R22" s="13"/>
      <c r="S22" s="13">
        <v>0</v>
      </c>
      <c r="T22" s="13"/>
      <c r="U22" s="13">
        <v>0</v>
      </c>
      <c r="V22" s="13"/>
      <c r="W22" s="13">
        <v>0</v>
      </c>
      <c r="X22" s="13"/>
      <c r="Y22" s="13">
        <v>0</v>
      </c>
      <c r="Z22" s="13"/>
      <c r="AA22" s="13">
        <v>0</v>
      </c>
      <c r="AB22" s="13"/>
      <c r="AC22" s="13">
        <f t="shared" si="0"/>
        <v>0</v>
      </c>
      <c r="AD22" s="13"/>
      <c r="AE22" s="86">
        <f t="shared" si="1"/>
        <v>0</v>
      </c>
      <c r="AF22" s="15"/>
      <c r="AG22" s="13">
        <v>0</v>
      </c>
      <c r="AH22" s="16"/>
      <c r="AI22" s="13">
        <v>0</v>
      </c>
      <c r="AJ22" s="16"/>
      <c r="AK22" s="16">
        <v>0</v>
      </c>
      <c r="AL22" s="16"/>
      <c r="AM22" s="16">
        <f>+'Gov Fd Rv'!Q22+'Gov Fd Rv'!S22-'Gov Fnd Exp'!AC22-AG22+AI22-'Gov Fd BS'!O23+AK22</f>
        <v>0</v>
      </c>
    </row>
    <row r="23" spans="1:39" ht="12.75">
      <c r="A23" s="14" t="s">
        <v>24</v>
      </c>
      <c r="B23" s="23"/>
      <c r="C23" s="13">
        <v>3018222</v>
      </c>
      <c r="D23" s="13"/>
      <c r="E23" s="13">
        <v>1527767</v>
      </c>
      <c r="F23" s="13"/>
      <c r="G23" s="13">
        <v>4871731</v>
      </c>
      <c r="H23" s="13"/>
      <c r="I23" s="13">
        <v>6793770</v>
      </c>
      <c r="J23" s="13"/>
      <c r="K23" s="13">
        <v>5947705</v>
      </c>
      <c r="L23" s="13"/>
      <c r="M23" s="13">
        <v>10458656</v>
      </c>
      <c r="N23" s="13"/>
      <c r="O23" s="13">
        <v>0</v>
      </c>
      <c r="P23" s="13"/>
      <c r="Q23" s="13">
        <v>375013</v>
      </c>
      <c r="R23" s="13"/>
      <c r="S23" s="13">
        <v>290972</v>
      </c>
      <c r="T23" s="13"/>
      <c r="U23" s="13">
        <v>196291</v>
      </c>
      <c r="V23" s="13"/>
      <c r="W23" s="13">
        <v>0</v>
      </c>
      <c r="X23" s="13"/>
      <c r="Y23" s="13">
        <v>419333</v>
      </c>
      <c r="Z23" s="13"/>
      <c r="AA23" s="13">
        <v>244723</v>
      </c>
      <c r="AB23" s="13"/>
      <c r="AC23" s="13">
        <f t="shared" si="0"/>
        <v>34144183</v>
      </c>
      <c r="AD23" s="13"/>
      <c r="AE23" s="86">
        <f t="shared" si="1"/>
        <v>33283836</v>
      </c>
      <c r="AF23" s="15"/>
      <c r="AG23" s="13">
        <v>451985</v>
      </c>
      <c r="AH23" s="16"/>
      <c r="AI23" s="13">
        <v>10538926</v>
      </c>
      <c r="AJ23" s="16"/>
      <c r="AK23" s="16">
        <v>0</v>
      </c>
      <c r="AL23" s="16"/>
      <c r="AM23" s="16">
        <f>+'Gov Fd Rv'!Q23+'Gov Fd Rv'!S23-'Gov Fnd Exp'!AC23-AG23+AI23-'Gov Fd BS'!O24+AK23</f>
        <v>0</v>
      </c>
    </row>
    <row r="24" spans="1:39" ht="12.75">
      <c r="A24" s="14" t="s">
        <v>257</v>
      </c>
      <c r="B24" s="14"/>
      <c r="C24" s="13">
        <v>3953311</v>
      </c>
      <c r="D24" s="13"/>
      <c r="E24" s="13">
        <v>2041553</v>
      </c>
      <c r="F24" s="13"/>
      <c r="G24" s="13">
        <v>5396276</v>
      </c>
      <c r="H24" s="13"/>
      <c r="I24" s="13">
        <v>3689836</v>
      </c>
      <c r="J24" s="13"/>
      <c r="K24" s="13">
        <v>4731912</v>
      </c>
      <c r="L24" s="13"/>
      <c r="M24" s="13">
        <v>11052399</v>
      </c>
      <c r="N24" s="13"/>
      <c r="O24" s="13">
        <v>325602</v>
      </c>
      <c r="P24" s="13"/>
      <c r="Q24" s="13">
        <v>0</v>
      </c>
      <c r="R24" s="13"/>
      <c r="S24" s="13">
        <v>0</v>
      </c>
      <c r="T24" s="13"/>
      <c r="U24" s="13">
        <v>180888</v>
      </c>
      <c r="V24" s="13"/>
      <c r="W24" s="13">
        <v>492990</v>
      </c>
      <c r="X24" s="13"/>
      <c r="Y24" s="13">
        <v>410000</v>
      </c>
      <c r="Z24" s="13"/>
      <c r="AA24" s="13">
        <v>604946</v>
      </c>
      <c r="AB24" s="13"/>
      <c r="AC24" s="13">
        <f t="shared" si="0"/>
        <v>32879713</v>
      </c>
      <c r="AD24" s="13"/>
      <c r="AE24" s="86">
        <f t="shared" si="1"/>
        <v>31190889</v>
      </c>
      <c r="AF24" s="15"/>
      <c r="AG24" s="13">
        <v>1896676</v>
      </c>
      <c r="AH24" s="16"/>
      <c r="AI24" s="13">
        <v>12434703</v>
      </c>
      <c r="AJ24" s="16"/>
      <c r="AK24" s="16">
        <v>0</v>
      </c>
      <c r="AL24" s="16"/>
      <c r="AM24" s="16">
        <f>+'Gov Fd Rv'!Q24+'Gov Fd Rv'!S24-'Gov Fnd Exp'!AC24-AG24+AI24-'Gov Fd BS'!O25+AK24</f>
        <v>0</v>
      </c>
    </row>
    <row r="25" spans="1:39" ht="12.75">
      <c r="A25" s="14" t="s">
        <v>25</v>
      </c>
      <c r="B25" s="14"/>
      <c r="C25" s="13">
        <v>84610000</v>
      </c>
      <c r="D25" s="13"/>
      <c r="E25" s="13">
        <v>324794000</v>
      </c>
      <c r="F25" s="13"/>
      <c r="G25" s="13">
        <v>0</v>
      </c>
      <c r="H25" s="13"/>
      <c r="I25" s="13">
        <v>58174000</v>
      </c>
      <c r="J25" s="13"/>
      <c r="K25" s="13">
        <v>234874000</v>
      </c>
      <c r="L25" s="13"/>
      <c r="M25" s="13">
        <v>642445000</v>
      </c>
      <c r="N25" s="13"/>
      <c r="O25" s="13">
        <v>32046000</v>
      </c>
      <c r="P25" s="13"/>
      <c r="Q25" s="13">
        <v>0</v>
      </c>
      <c r="R25" s="13"/>
      <c r="S25" s="13">
        <v>0</v>
      </c>
      <c r="T25" s="13"/>
      <c r="U25" s="13">
        <v>24262000</v>
      </c>
      <c r="V25" s="13"/>
      <c r="W25" s="13">
        <v>0</v>
      </c>
      <c r="X25" s="13"/>
      <c r="Y25" s="13">
        <v>22455000</v>
      </c>
      <c r="Z25" s="13"/>
      <c r="AA25" s="13">
        <v>17002000</v>
      </c>
      <c r="AB25" s="13"/>
      <c r="AC25" s="13">
        <f t="shared" si="0"/>
        <v>1440662000</v>
      </c>
      <c r="AD25" s="13"/>
      <c r="AE25" s="86">
        <f t="shared" si="1"/>
        <v>1376943000</v>
      </c>
      <c r="AF25" s="15"/>
      <c r="AG25" s="13">
        <f>6473000+185551000</f>
        <v>192024000</v>
      </c>
      <c r="AH25" s="16"/>
      <c r="AI25" s="13">
        <v>403300000</v>
      </c>
      <c r="AJ25" s="16"/>
      <c r="AK25" s="16"/>
      <c r="AL25" s="16"/>
      <c r="AM25" s="16">
        <f>+'Gov Fd Rv'!Q25+'Gov Fd Rv'!S25-'Gov Fnd Exp'!AC25-AG25+AI25-'Gov Fd BS'!O26+AK25</f>
        <v>0</v>
      </c>
    </row>
    <row r="26" spans="1:39" ht="12.75">
      <c r="A26" s="14" t="s">
        <v>26</v>
      </c>
      <c r="B26" s="14"/>
      <c r="C26" s="13">
        <v>6995822</v>
      </c>
      <c r="D26" s="13"/>
      <c r="E26" s="13">
        <v>0</v>
      </c>
      <c r="F26" s="13"/>
      <c r="G26" s="13">
        <v>4216693</v>
      </c>
      <c r="H26" s="13"/>
      <c r="I26" s="13">
        <v>5006370</v>
      </c>
      <c r="J26" s="13"/>
      <c r="K26" s="13">
        <v>236325</v>
      </c>
      <c r="L26" s="13"/>
      <c r="M26" s="13">
        <v>12707367</v>
      </c>
      <c r="N26" s="13"/>
      <c r="O26" s="13">
        <v>1004233</v>
      </c>
      <c r="P26" s="13"/>
      <c r="Q26" s="13">
        <v>0</v>
      </c>
      <c r="R26" s="13"/>
      <c r="S26" s="13">
        <v>0</v>
      </c>
      <c r="T26" s="13"/>
      <c r="U26" s="13">
        <v>1128247</v>
      </c>
      <c r="V26" s="13"/>
      <c r="W26" s="13">
        <v>0</v>
      </c>
      <c r="X26" s="13"/>
      <c r="Y26" s="13">
        <v>110000</v>
      </c>
      <c r="Z26" s="13"/>
      <c r="AA26" s="13">
        <v>325903</v>
      </c>
      <c r="AB26" s="13"/>
      <c r="AC26" s="13">
        <f t="shared" si="0"/>
        <v>31730960</v>
      </c>
      <c r="AD26" s="13"/>
      <c r="AE26" s="86">
        <f t="shared" si="1"/>
        <v>30166810</v>
      </c>
      <c r="AF26" s="15"/>
      <c r="AG26" s="13">
        <v>4731147</v>
      </c>
      <c r="AH26" s="16"/>
      <c r="AI26" s="13">
        <v>11547838</v>
      </c>
      <c r="AJ26" s="16"/>
      <c r="AK26" s="16">
        <v>44784</v>
      </c>
      <c r="AL26" s="16"/>
      <c r="AM26" s="16">
        <f>+'Gov Fd Rv'!Q26+'Gov Fd Rv'!S26-'Gov Fnd Exp'!AC26-AG26+AI26-'Gov Fd BS'!O27+AK26</f>
        <v>0</v>
      </c>
    </row>
    <row r="27" spans="1:39" ht="12.75">
      <c r="A27" s="14" t="s">
        <v>27</v>
      </c>
      <c r="B27" s="23"/>
      <c r="C27" s="13">
        <v>3601541</v>
      </c>
      <c r="D27" s="13"/>
      <c r="E27" s="13">
        <v>1450441</v>
      </c>
      <c r="F27" s="13"/>
      <c r="G27" s="13">
        <v>4315355</v>
      </c>
      <c r="H27" s="13"/>
      <c r="I27" s="13">
        <v>4528579</v>
      </c>
      <c r="J27" s="13"/>
      <c r="K27" s="13">
        <v>4360722</v>
      </c>
      <c r="L27" s="13"/>
      <c r="M27" s="13">
        <v>6578840</v>
      </c>
      <c r="N27" s="13"/>
      <c r="O27" s="13">
        <v>776365</v>
      </c>
      <c r="P27" s="13"/>
      <c r="Q27" s="13">
        <v>0</v>
      </c>
      <c r="R27" s="13"/>
      <c r="S27" s="13">
        <v>2072340</v>
      </c>
      <c r="T27" s="13"/>
      <c r="U27" s="13">
        <v>6332101</v>
      </c>
      <c r="V27" s="13"/>
      <c r="W27" s="13">
        <v>0</v>
      </c>
      <c r="X27" s="13"/>
      <c r="Y27" s="13">
        <v>245698</v>
      </c>
      <c r="Z27" s="13"/>
      <c r="AA27" s="13">
        <v>598052</v>
      </c>
      <c r="AB27" s="13"/>
      <c r="AC27" s="13">
        <f aca="true" t="shared" si="2" ref="AC27:AC73">SUM(C27:AA27)</f>
        <v>34860034</v>
      </c>
      <c r="AD27" s="13"/>
      <c r="AE27" s="86">
        <f aca="true" t="shared" si="3" ref="AE27:AE73">SUM(C27:S27)</f>
        <v>27684183</v>
      </c>
      <c r="AF27" s="15"/>
      <c r="AG27" s="13">
        <v>5716269</v>
      </c>
      <c r="AH27" s="16"/>
      <c r="AI27" s="13">
        <v>21054569</v>
      </c>
      <c r="AJ27" s="16"/>
      <c r="AK27" s="16">
        <v>0</v>
      </c>
      <c r="AL27" s="16"/>
      <c r="AM27" s="16">
        <f>+'Gov Fd Rv'!Q27+'Gov Fd Rv'!S27-'Gov Fnd Exp'!AC27-AG27+AI27-'Gov Fd BS'!O28+AK27</f>
        <v>0</v>
      </c>
    </row>
    <row r="28" spans="1:39" ht="12.75">
      <c r="A28" s="14" t="s">
        <v>28</v>
      </c>
      <c r="B28" s="14"/>
      <c r="C28" s="13">
        <v>16257225</v>
      </c>
      <c r="D28" s="13"/>
      <c r="E28" s="13">
        <v>6619123</v>
      </c>
      <c r="F28" s="13"/>
      <c r="G28" s="13">
        <v>26652823</v>
      </c>
      <c r="H28" s="13"/>
      <c r="I28" s="13">
        <v>24996133</v>
      </c>
      <c r="J28" s="13"/>
      <c r="K28" s="13">
        <v>10125021</v>
      </c>
      <c r="L28" s="13"/>
      <c r="M28" s="13">
        <v>10461000</v>
      </c>
      <c r="N28" s="13"/>
      <c r="O28" s="13">
        <v>0</v>
      </c>
      <c r="P28" s="13"/>
      <c r="Q28" s="13">
        <v>0</v>
      </c>
      <c r="R28" s="13"/>
      <c r="S28" s="13">
        <v>0</v>
      </c>
      <c r="T28" s="13"/>
      <c r="U28" s="13">
        <v>8822679</v>
      </c>
      <c r="V28" s="13"/>
      <c r="W28" s="13">
        <v>692730</v>
      </c>
      <c r="X28" s="13"/>
      <c r="Y28" s="13">
        <v>2705000</v>
      </c>
      <c r="Z28" s="13"/>
      <c r="AA28" s="13">
        <v>2270034</v>
      </c>
      <c r="AB28" s="13"/>
      <c r="AC28" s="13">
        <f t="shared" si="2"/>
        <v>109601768</v>
      </c>
      <c r="AD28" s="13"/>
      <c r="AE28" s="86">
        <f t="shared" si="3"/>
        <v>95111325</v>
      </c>
      <c r="AF28" s="15"/>
      <c r="AG28" s="13">
        <v>9594494</v>
      </c>
      <c r="AH28" s="16"/>
      <c r="AI28" s="13">
        <v>78530091</v>
      </c>
      <c r="AJ28" s="16"/>
      <c r="AK28" s="16">
        <v>0</v>
      </c>
      <c r="AL28" s="16"/>
      <c r="AM28" s="16">
        <f>+'Gov Fd Rv'!Q28+'Gov Fd Rv'!S28-'Gov Fnd Exp'!AC28-AG28+AI28-'Gov Fd BS'!O29+AK28</f>
        <v>0</v>
      </c>
    </row>
    <row r="29" spans="1:39" ht="12.75">
      <c r="A29" s="14" t="s">
        <v>29</v>
      </c>
      <c r="B29" s="14"/>
      <c r="C29" s="13">
        <v>11640810</v>
      </c>
      <c r="D29" s="13"/>
      <c r="E29" s="13">
        <v>6431119</v>
      </c>
      <c r="F29" s="13"/>
      <c r="G29" s="13">
        <v>9592517</v>
      </c>
      <c r="H29" s="13"/>
      <c r="I29" s="13">
        <v>6772270</v>
      </c>
      <c r="J29" s="13"/>
      <c r="K29" s="13">
        <v>8022783</v>
      </c>
      <c r="L29" s="13"/>
      <c r="M29" s="13">
        <v>13672942</v>
      </c>
      <c r="N29" s="13"/>
      <c r="O29" s="13">
        <v>1101319</v>
      </c>
      <c r="P29" s="13"/>
      <c r="Q29" s="13">
        <v>0</v>
      </c>
      <c r="R29" s="13"/>
      <c r="S29" s="13">
        <v>255790</v>
      </c>
      <c r="T29" s="13"/>
      <c r="U29" s="13">
        <v>1810481</v>
      </c>
      <c r="V29" s="13"/>
      <c r="W29" s="13">
        <v>0</v>
      </c>
      <c r="X29" s="13"/>
      <c r="Y29" s="13">
        <v>16100128</v>
      </c>
      <c r="Z29" s="13"/>
      <c r="AA29" s="13">
        <v>840007</v>
      </c>
      <c r="AB29" s="13"/>
      <c r="AC29" s="13">
        <f t="shared" si="2"/>
        <v>76240166</v>
      </c>
      <c r="AD29" s="13"/>
      <c r="AE29" s="86">
        <f t="shared" si="3"/>
        <v>57489550</v>
      </c>
      <c r="AF29" s="15"/>
      <c r="AG29" s="13">
        <v>4367810</v>
      </c>
      <c r="AH29" s="16"/>
      <c r="AI29" s="13">
        <v>23927026</v>
      </c>
      <c r="AJ29" s="16"/>
      <c r="AK29" s="59">
        <v>55505</v>
      </c>
      <c r="AL29" s="16"/>
      <c r="AM29" s="16">
        <f>+'Gov Fd Rv'!Q29+'Gov Fd Rv'!S29-'Gov Fnd Exp'!AC29-AG29+AI29-'Gov Fd BS'!O30+AK29</f>
        <v>0</v>
      </c>
    </row>
    <row r="30" spans="1:39" ht="12.75">
      <c r="A30" s="14" t="s">
        <v>30</v>
      </c>
      <c r="B30" s="14"/>
      <c r="C30" s="13">
        <v>9432808</v>
      </c>
      <c r="D30" s="13"/>
      <c r="E30" s="13">
        <v>4845489</v>
      </c>
      <c r="F30" s="13"/>
      <c r="G30" s="13">
        <v>12861129</v>
      </c>
      <c r="H30" s="13"/>
      <c r="I30" s="13">
        <v>7104435</v>
      </c>
      <c r="J30" s="13"/>
      <c r="K30" s="13">
        <v>21161528</v>
      </c>
      <c r="L30" s="13"/>
      <c r="M30" s="13">
        <v>22297207</v>
      </c>
      <c r="N30" s="13"/>
      <c r="O30" s="13">
        <v>153037</v>
      </c>
      <c r="P30" s="13"/>
      <c r="Q30" s="13">
        <v>0</v>
      </c>
      <c r="R30" s="13"/>
      <c r="S30" s="13">
        <f>51577+93137</f>
        <v>144714</v>
      </c>
      <c r="T30" s="13"/>
      <c r="U30" s="13">
        <v>4466931</v>
      </c>
      <c r="V30" s="13"/>
      <c r="W30" s="13">
        <v>2121935</v>
      </c>
      <c r="X30" s="13"/>
      <c r="Y30" s="13">
        <v>1622521</v>
      </c>
      <c r="Z30" s="13"/>
      <c r="AA30" s="13">
        <v>1158976</v>
      </c>
      <c r="AB30" s="13"/>
      <c r="AC30" s="13">
        <f t="shared" si="2"/>
        <v>87370710</v>
      </c>
      <c r="AD30" s="13"/>
      <c r="AE30" s="86">
        <f t="shared" si="3"/>
        <v>78000347</v>
      </c>
      <c r="AF30" s="15"/>
      <c r="AG30" s="13">
        <f>6495792</f>
        <v>6495792</v>
      </c>
      <c r="AH30" s="16"/>
      <c r="AI30" s="13">
        <v>33214242</v>
      </c>
      <c r="AJ30" s="16"/>
      <c r="AK30" s="16">
        <v>0</v>
      </c>
      <c r="AL30" s="16"/>
      <c r="AM30" s="16">
        <f>+'Gov Fd Rv'!Q30+'Gov Fd Rv'!S30-'Gov Fnd Exp'!AC30-AG30+AI30-'Gov Fd BS'!O31+AK30</f>
        <v>0</v>
      </c>
    </row>
    <row r="31" spans="1:39" ht="12.75" hidden="1">
      <c r="A31" s="14" t="s">
        <v>253</v>
      </c>
      <c r="B31" s="14"/>
      <c r="C31" s="13">
        <v>0</v>
      </c>
      <c r="D31" s="13"/>
      <c r="E31" s="13">
        <v>0</v>
      </c>
      <c r="F31" s="13"/>
      <c r="G31" s="13">
        <v>0</v>
      </c>
      <c r="H31" s="13"/>
      <c r="I31" s="13">
        <v>0</v>
      </c>
      <c r="J31" s="13"/>
      <c r="K31" s="13">
        <v>0</v>
      </c>
      <c r="L31" s="13"/>
      <c r="M31" s="13">
        <v>0</v>
      </c>
      <c r="N31" s="13"/>
      <c r="O31" s="13">
        <v>0</v>
      </c>
      <c r="P31" s="13"/>
      <c r="Q31" s="13">
        <v>0</v>
      </c>
      <c r="R31" s="13"/>
      <c r="S31" s="13">
        <v>0</v>
      </c>
      <c r="T31" s="13"/>
      <c r="U31" s="13">
        <v>0</v>
      </c>
      <c r="V31" s="13"/>
      <c r="W31" s="13">
        <v>0</v>
      </c>
      <c r="X31" s="13"/>
      <c r="Y31" s="13">
        <v>0</v>
      </c>
      <c r="Z31" s="13"/>
      <c r="AA31" s="13">
        <v>0</v>
      </c>
      <c r="AB31" s="13"/>
      <c r="AC31" s="13">
        <f t="shared" si="2"/>
        <v>0</v>
      </c>
      <c r="AD31" s="13"/>
      <c r="AE31" s="86">
        <f t="shared" si="3"/>
        <v>0</v>
      </c>
      <c r="AF31" s="15"/>
      <c r="AG31" s="13">
        <v>0</v>
      </c>
      <c r="AH31" s="16"/>
      <c r="AI31" s="13">
        <v>0</v>
      </c>
      <c r="AJ31" s="16"/>
      <c r="AK31" s="16">
        <v>0</v>
      </c>
      <c r="AL31" s="16"/>
      <c r="AM31" s="16">
        <f>+'Gov Fd Rv'!Q31+'Gov Fd Rv'!S31-'Gov Fnd Exp'!AC31-AG31+AI31-'Gov Fd BS'!O32+AK31</f>
        <v>0</v>
      </c>
    </row>
    <row r="32" spans="1:39" ht="12.75">
      <c r="A32" s="14" t="s">
        <v>32</v>
      </c>
      <c r="B32" s="14"/>
      <c r="C32" s="13">
        <v>90239000</v>
      </c>
      <c r="D32" s="13"/>
      <c r="E32" s="13">
        <v>64291000</v>
      </c>
      <c r="F32" s="13"/>
      <c r="G32" s="13">
        <v>109636000</v>
      </c>
      <c r="H32" s="13"/>
      <c r="I32" s="13">
        <v>40016000</v>
      </c>
      <c r="J32" s="13"/>
      <c r="K32" s="13">
        <v>302142000</v>
      </c>
      <c r="L32" s="13"/>
      <c r="M32" s="13">
        <v>346007000</v>
      </c>
      <c r="N32" s="13"/>
      <c r="O32" s="13">
        <f>2200000</f>
        <v>2200000</v>
      </c>
      <c r="P32" s="13"/>
      <c r="Q32" s="13">
        <v>19660000</v>
      </c>
      <c r="R32" s="13"/>
      <c r="S32" s="13">
        <v>0</v>
      </c>
      <c r="T32" s="13"/>
      <c r="U32" s="13">
        <v>21680000</v>
      </c>
      <c r="V32" s="13"/>
      <c r="W32" s="13">
        <v>16274000</v>
      </c>
      <c r="X32" s="13"/>
      <c r="Y32" s="13">
        <v>9833000</v>
      </c>
      <c r="Z32" s="13"/>
      <c r="AA32" s="13">
        <v>7112000</v>
      </c>
      <c r="AB32" s="13"/>
      <c r="AC32" s="13">
        <f t="shared" si="2"/>
        <v>1029090000</v>
      </c>
      <c r="AD32" s="13"/>
      <c r="AE32" s="86">
        <f t="shared" si="3"/>
        <v>974191000</v>
      </c>
      <c r="AF32" s="15"/>
      <c r="AG32" s="13">
        <v>28532000</v>
      </c>
      <c r="AH32" s="16"/>
      <c r="AI32" s="13">
        <v>363243000</v>
      </c>
      <c r="AJ32" s="16"/>
      <c r="AK32" s="16">
        <v>0</v>
      </c>
      <c r="AL32" s="16"/>
      <c r="AM32" s="16">
        <f>+'Gov Fd Rv'!Q32+'Gov Fd Rv'!S32-'Gov Fnd Exp'!AC32-AG32+AI32-'Gov Fd BS'!O33+AK32</f>
        <v>0</v>
      </c>
    </row>
    <row r="33" spans="1:39" ht="12.75">
      <c r="A33" s="14" t="s">
        <v>33</v>
      </c>
      <c r="B33" s="14"/>
      <c r="C33" s="13">
        <v>5097971</v>
      </c>
      <c r="D33" s="13"/>
      <c r="E33" s="13">
        <v>1815142</v>
      </c>
      <c r="F33" s="13"/>
      <c r="G33" s="13">
        <v>6226277</v>
      </c>
      <c r="H33" s="13"/>
      <c r="I33" s="13">
        <v>5180687</v>
      </c>
      <c r="J33" s="13"/>
      <c r="K33" s="13">
        <v>1214726</v>
      </c>
      <c r="L33" s="13"/>
      <c r="M33" s="13">
        <v>9852192</v>
      </c>
      <c r="N33" s="13"/>
      <c r="O33" s="13">
        <v>1369961</v>
      </c>
      <c r="P33" s="13"/>
      <c r="Q33" s="13">
        <v>0</v>
      </c>
      <c r="R33" s="13"/>
      <c r="S33" s="13">
        <v>39159</v>
      </c>
      <c r="T33" s="13"/>
      <c r="U33" s="13">
        <v>1319228</v>
      </c>
      <c r="V33" s="13"/>
      <c r="W33" s="13">
        <v>875966</v>
      </c>
      <c r="X33" s="13"/>
      <c r="Y33" s="13">
        <v>218648</v>
      </c>
      <c r="Z33" s="13"/>
      <c r="AA33" s="13">
        <v>74878</v>
      </c>
      <c r="AB33" s="13"/>
      <c r="AC33" s="13">
        <f t="shared" si="2"/>
        <v>33284835</v>
      </c>
      <c r="AD33" s="13"/>
      <c r="AE33" s="86">
        <f t="shared" si="3"/>
        <v>30796115</v>
      </c>
      <c r="AF33" s="15"/>
      <c r="AG33" s="13">
        <v>582155</v>
      </c>
      <c r="AH33" s="16"/>
      <c r="AI33" s="13">
        <v>17903881</v>
      </c>
      <c r="AJ33" s="16"/>
      <c r="AK33" s="16">
        <v>0</v>
      </c>
      <c r="AL33" s="16"/>
      <c r="AM33" s="16">
        <f>+'Gov Fd Rv'!Q33+'Gov Fd Rv'!S33-'Gov Fnd Exp'!AC33-AG33+AI33-'Gov Fd BS'!O34+AK33</f>
        <v>0</v>
      </c>
    </row>
    <row r="34" spans="1:39" ht="12.75">
      <c r="A34" s="14" t="s">
        <v>34</v>
      </c>
      <c r="B34" s="14"/>
      <c r="C34" s="13">
        <v>2929668</v>
      </c>
      <c r="D34" s="13"/>
      <c r="E34" s="13">
        <v>1074677</v>
      </c>
      <c r="F34" s="13"/>
      <c r="G34" s="13">
        <v>4433291</v>
      </c>
      <c r="H34" s="13"/>
      <c r="I34" s="13">
        <v>3788489</v>
      </c>
      <c r="J34" s="13"/>
      <c r="K34" s="13">
        <v>2540089</v>
      </c>
      <c r="L34" s="13"/>
      <c r="M34" s="13">
        <v>9880074</v>
      </c>
      <c r="N34" s="13"/>
      <c r="O34" s="13">
        <v>707496</v>
      </c>
      <c r="P34" s="13"/>
      <c r="Q34" s="13">
        <v>352441</v>
      </c>
      <c r="R34" s="13"/>
      <c r="S34" s="13">
        <v>674691</v>
      </c>
      <c r="T34" s="13"/>
      <c r="U34" s="13">
        <v>1465775</v>
      </c>
      <c r="V34" s="13"/>
      <c r="W34" s="13">
        <v>0</v>
      </c>
      <c r="X34" s="13"/>
      <c r="Y34" s="13">
        <v>262700</v>
      </c>
      <c r="Z34" s="13"/>
      <c r="AA34" s="13">
        <v>31326</v>
      </c>
      <c r="AB34" s="13"/>
      <c r="AC34" s="13">
        <f t="shared" si="2"/>
        <v>28140717</v>
      </c>
      <c r="AD34" s="13"/>
      <c r="AE34" s="86">
        <f t="shared" si="3"/>
        <v>26380916</v>
      </c>
      <c r="AF34" s="15"/>
      <c r="AG34" s="13">
        <v>1146446</v>
      </c>
      <c r="AH34" s="16"/>
      <c r="AI34" s="13">
        <v>5545658</v>
      </c>
      <c r="AJ34" s="16"/>
      <c r="AK34" s="16">
        <v>0</v>
      </c>
      <c r="AL34" s="16"/>
      <c r="AM34" s="16">
        <f>+'Gov Fd Rv'!Q34+'Gov Fd Rv'!S34-'Gov Fnd Exp'!AC34-AG34+AI34-'Gov Fd BS'!O35+AK34</f>
        <v>0</v>
      </c>
    </row>
    <row r="35" spans="1:39" ht="12.75">
      <c r="A35" s="14" t="s">
        <v>35</v>
      </c>
      <c r="B35" s="14"/>
      <c r="C35" s="13">
        <v>10470671</v>
      </c>
      <c r="D35" s="13"/>
      <c r="E35" s="13">
        <v>3523800</v>
      </c>
      <c r="F35" s="13"/>
      <c r="G35" s="13">
        <v>12079196</v>
      </c>
      <c r="H35" s="13"/>
      <c r="I35" s="13">
        <v>5960516</v>
      </c>
      <c r="J35" s="13"/>
      <c r="K35" s="13">
        <v>7181743</v>
      </c>
      <c r="L35" s="13"/>
      <c r="M35" s="13">
        <v>29140316</v>
      </c>
      <c r="N35" s="13"/>
      <c r="O35" s="13">
        <v>299248</v>
      </c>
      <c r="P35" s="13"/>
      <c r="Q35" s="13">
        <v>0</v>
      </c>
      <c r="R35" s="13"/>
      <c r="S35" s="13">
        <v>0</v>
      </c>
      <c r="T35" s="13"/>
      <c r="U35" s="13">
        <v>7300073</v>
      </c>
      <c r="V35" s="13"/>
      <c r="W35" s="13">
        <v>0</v>
      </c>
      <c r="X35" s="13"/>
      <c r="Y35" s="13">
        <f>482741+200000</f>
        <v>682741</v>
      </c>
      <c r="Z35" s="13"/>
      <c r="AA35" s="13">
        <v>756474</v>
      </c>
      <c r="AB35" s="13"/>
      <c r="AC35" s="13">
        <f t="shared" si="2"/>
        <v>77394778</v>
      </c>
      <c r="AD35" s="13"/>
      <c r="AE35" s="86">
        <f t="shared" si="3"/>
        <v>68655490</v>
      </c>
      <c r="AF35" s="15"/>
      <c r="AG35" s="13">
        <f>400000+11238886</f>
        <v>11638886</v>
      </c>
      <c r="AH35" s="16"/>
      <c r="AI35" s="13">
        <v>19508006</v>
      </c>
      <c r="AJ35" s="16"/>
      <c r="AK35" s="16">
        <v>0</v>
      </c>
      <c r="AL35" s="16"/>
      <c r="AM35" s="16">
        <f>+'Gov Fd Rv'!Q35+'Gov Fd Rv'!S35-'Gov Fnd Exp'!AC35-AG35+AI35-'Gov Fd BS'!O36+AK35</f>
        <v>0</v>
      </c>
    </row>
    <row r="36" spans="1:39" ht="12.75">
      <c r="A36" s="14" t="s">
        <v>185</v>
      </c>
      <c r="B36" s="14"/>
      <c r="C36" s="13">
        <v>17464660</v>
      </c>
      <c r="D36" s="13"/>
      <c r="E36" s="13">
        <v>7382233</v>
      </c>
      <c r="F36" s="13"/>
      <c r="G36" s="13">
        <v>20913405</v>
      </c>
      <c r="H36" s="13"/>
      <c r="I36" s="13">
        <v>9620896</v>
      </c>
      <c r="J36" s="13"/>
      <c r="K36" s="13">
        <v>18072358</v>
      </c>
      <c r="L36" s="13"/>
      <c r="M36" s="13">
        <v>30639488</v>
      </c>
      <c r="N36" s="13"/>
      <c r="O36" s="13">
        <v>11841192</v>
      </c>
      <c r="P36" s="13"/>
      <c r="Q36" s="13">
        <v>2930039</v>
      </c>
      <c r="R36" s="13"/>
      <c r="S36" s="13">
        <v>0</v>
      </c>
      <c r="T36" s="13"/>
      <c r="U36" s="13">
        <v>266682</v>
      </c>
      <c r="V36" s="13"/>
      <c r="W36" s="13">
        <v>0</v>
      </c>
      <c r="X36" s="13"/>
      <c r="Y36" s="13">
        <v>2155000</v>
      </c>
      <c r="Z36" s="13"/>
      <c r="AA36" s="13">
        <v>1612099</v>
      </c>
      <c r="AB36" s="13"/>
      <c r="AC36" s="13">
        <f t="shared" si="2"/>
        <v>122898052</v>
      </c>
      <c r="AD36" s="13"/>
      <c r="AE36" s="86">
        <f t="shared" si="3"/>
        <v>118864271</v>
      </c>
      <c r="AF36" s="15"/>
      <c r="AG36" s="13">
        <v>2859177</v>
      </c>
      <c r="AH36" s="16"/>
      <c r="AI36" s="13">
        <v>39485484</v>
      </c>
      <c r="AJ36" s="16"/>
      <c r="AK36" s="16">
        <v>0</v>
      </c>
      <c r="AL36" s="16"/>
      <c r="AM36" s="16">
        <f>+'Gov Fd Rv'!Q36+'Gov Fd Rv'!S36-'Gov Fnd Exp'!AC36-AG36+AI36-'Gov Fd BS'!O37+AK36</f>
        <v>0</v>
      </c>
    </row>
    <row r="37" spans="1:39" ht="12.75" hidden="1">
      <c r="A37" s="14" t="s">
        <v>258</v>
      </c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>
        <f t="shared" si="2"/>
        <v>0</v>
      </c>
      <c r="AD37" s="13"/>
      <c r="AE37" s="86">
        <f t="shared" si="3"/>
        <v>0</v>
      </c>
      <c r="AF37" s="15"/>
      <c r="AG37" s="13"/>
      <c r="AH37" s="16"/>
      <c r="AI37" s="13"/>
      <c r="AJ37" s="16"/>
      <c r="AK37" s="16"/>
      <c r="AL37" s="16"/>
      <c r="AM37" s="16">
        <f>+'Gov Fd Rv'!Q37+'Gov Fd Rv'!S37-'Gov Fnd Exp'!AC37-AG37+AI37-'Gov Fd BS'!O38+AK37</f>
        <v>0</v>
      </c>
    </row>
    <row r="38" spans="1:39" ht="12.75" hidden="1">
      <c r="A38" s="14" t="s">
        <v>259</v>
      </c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>
        <f t="shared" si="2"/>
        <v>0</v>
      </c>
      <c r="AD38" s="13"/>
      <c r="AE38" s="86">
        <f t="shared" si="3"/>
        <v>0</v>
      </c>
      <c r="AF38" s="15"/>
      <c r="AG38" s="13"/>
      <c r="AH38" s="16"/>
      <c r="AI38" s="13"/>
      <c r="AJ38" s="16"/>
      <c r="AK38" s="16">
        <f>7114-7114</f>
        <v>0</v>
      </c>
      <c r="AL38" s="16"/>
      <c r="AM38" s="16">
        <f>+'Gov Fd Rv'!Q38+'Gov Fd Rv'!S38-'Gov Fnd Exp'!AC38-AG38+AI38-'Gov Fd BS'!O39+AK38</f>
        <v>0</v>
      </c>
    </row>
    <row r="39" spans="1:39" ht="12.75">
      <c r="A39" s="14" t="s">
        <v>38</v>
      </c>
      <c r="B39" s="14"/>
      <c r="C39" s="13">
        <v>5678765</v>
      </c>
      <c r="D39" s="13"/>
      <c r="E39" s="13">
        <v>3339842</v>
      </c>
      <c r="F39" s="13"/>
      <c r="G39" s="13">
        <v>7332929</v>
      </c>
      <c r="H39" s="13"/>
      <c r="I39" s="13">
        <v>5520040</v>
      </c>
      <c r="J39" s="13"/>
      <c r="K39" s="13">
        <v>15739572</v>
      </c>
      <c r="L39" s="13"/>
      <c r="M39" s="13">
        <v>9615808</v>
      </c>
      <c r="N39" s="13"/>
      <c r="O39" s="13">
        <v>737677</v>
      </c>
      <c r="P39" s="13"/>
      <c r="Q39" s="13">
        <v>0</v>
      </c>
      <c r="R39" s="13"/>
      <c r="S39" s="13">
        <v>0</v>
      </c>
      <c r="T39" s="13"/>
      <c r="U39" s="13">
        <v>7818163</v>
      </c>
      <c r="V39" s="13"/>
      <c r="W39" s="13">
        <v>417273</v>
      </c>
      <c r="X39" s="13"/>
      <c r="Y39" s="13">
        <v>1251953</v>
      </c>
      <c r="Z39" s="13"/>
      <c r="AA39" s="13">
        <v>736798</v>
      </c>
      <c r="AB39" s="13"/>
      <c r="AC39" s="13">
        <f t="shared" si="2"/>
        <v>58188820</v>
      </c>
      <c r="AD39" s="13"/>
      <c r="AE39" s="86">
        <f t="shared" si="3"/>
        <v>47964633</v>
      </c>
      <c r="AF39" s="15"/>
      <c r="AG39" s="13">
        <v>1585677</v>
      </c>
      <c r="AH39" s="16"/>
      <c r="AI39" s="13">
        <v>15871187</v>
      </c>
      <c r="AJ39" s="16"/>
      <c r="AK39" s="16">
        <v>0</v>
      </c>
      <c r="AL39" s="16"/>
      <c r="AM39" s="16">
        <f>+'Gov Fd Rv'!Q39+'Gov Fd Rv'!S39-'Gov Fnd Exp'!AC39-AG39+AI39-'Gov Fd BS'!O40+AK39</f>
        <v>0</v>
      </c>
    </row>
    <row r="40" spans="1:39" ht="12.75" hidden="1">
      <c r="A40" s="14" t="s">
        <v>169</v>
      </c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>
        <f t="shared" si="2"/>
        <v>0</v>
      </c>
      <c r="AD40" s="13"/>
      <c r="AE40" s="86">
        <f t="shared" si="3"/>
        <v>0</v>
      </c>
      <c r="AF40" s="15"/>
      <c r="AG40" s="13"/>
      <c r="AH40" s="16"/>
      <c r="AI40" s="13"/>
      <c r="AJ40" s="16"/>
      <c r="AK40" s="16">
        <v>0</v>
      </c>
      <c r="AL40" s="16"/>
      <c r="AM40" s="16">
        <f>+'Gov Fd Rv'!Q40+'Gov Fd Rv'!S40-'Gov Fnd Exp'!AC40-AG40+AI40-'Gov Fd BS'!O41+AK40</f>
        <v>0</v>
      </c>
    </row>
    <row r="41" spans="1:39" ht="12.75" hidden="1">
      <c r="A41" s="14" t="s">
        <v>39</v>
      </c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>
        <f t="shared" si="2"/>
        <v>0</v>
      </c>
      <c r="AD41" s="13"/>
      <c r="AE41" s="86">
        <f t="shared" si="3"/>
        <v>0</v>
      </c>
      <c r="AF41" s="15"/>
      <c r="AG41" s="13"/>
      <c r="AH41" s="16"/>
      <c r="AI41" s="13"/>
      <c r="AJ41" s="16"/>
      <c r="AK41" s="16">
        <v>0</v>
      </c>
      <c r="AL41" s="16"/>
      <c r="AM41" s="16">
        <f>+'Gov Fd Rv'!Q41+'Gov Fd Rv'!S41-'Gov Fnd Exp'!AC41-AG41+AI41-'Gov Fd BS'!O42+AK41</f>
        <v>0</v>
      </c>
    </row>
    <row r="42" spans="1:39" ht="12.75">
      <c r="A42" s="14" t="s">
        <v>40</v>
      </c>
      <c r="B42" s="14"/>
      <c r="C42" s="13">
        <v>2499426</v>
      </c>
      <c r="D42" s="13"/>
      <c r="E42" s="13">
        <v>1079901</v>
      </c>
      <c r="F42" s="13"/>
      <c r="G42" s="13">
        <v>2285623</v>
      </c>
      <c r="H42" s="13"/>
      <c r="I42" s="13">
        <v>4568670</v>
      </c>
      <c r="J42" s="13"/>
      <c r="K42" s="13">
        <v>1645985</v>
      </c>
      <c r="L42" s="13"/>
      <c r="M42" s="13">
        <v>10992166</v>
      </c>
      <c r="N42" s="13"/>
      <c r="O42" s="13">
        <v>543114</v>
      </c>
      <c r="P42" s="13"/>
      <c r="Q42" s="13">
        <v>0</v>
      </c>
      <c r="R42" s="13"/>
      <c r="S42" s="13">
        <f>361159+392702</f>
        <v>753861</v>
      </c>
      <c r="T42" s="13"/>
      <c r="U42" s="13">
        <v>463110</v>
      </c>
      <c r="V42" s="13"/>
      <c r="W42" s="13">
        <v>0</v>
      </c>
      <c r="X42" s="13"/>
      <c r="Y42" s="13">
        <v>5775416</v>
      </c>
      <c r="Z42" s="13"/>
      <c r="AA42" s="13">
        <v>233686</v>
      </c>
      <c r="AB42" s="13"/>
      <c r="AC42" s="13">
        <f t="shared" si="2"/>
        <v>30840958</v>
      </c>
      <c r="AD42" s="13"/>
      <c r="AE42" s="86">
        <f t="shared" si="3"/>
        <v>24368746</v>
      </c>
      <c r="AF42" s="15"/>
      <c r="AG42" s="13">
        <v>1556157</v>
      </c>
      <c r="AH42" s="16"/>
      <c r="AI42" s="13">
        <v>13431971</v>
      </c>
      <c r="AJ42" s="16"/>
      <c r="AK42" s="16">
        <v>0</v>
      </c>
      <c r="AL42" s="16"/>
      <c r="AM42" s="16">
        <f>+'Gov Fd Rv'!Q42+'Gov Fd Rv'!S42-'Gov Fnd Exp'!AC42-AG42+AI42-'Gov Fd BS'!O43+AK42</f>
        <v>0</v>
      </c>
    </row>
    <row r="43" spans="1:39" ht="12.75" hidden="1">
      <c r="A43" s="14" t="s">
        <v>41</v>
      </c>
      <c r="B43" s="14"/>
      <c r="C43" s="13">
        <v>0</v>
      </c>
      <c r="D43" s="13"/>
      <c r="E43" s="13">
        <v>0</v>
      </c>
      <c r="F43" s="13"/>
      <c r="G43" s="13">
        <v>0</v>
      </c>
      <c r="H43" s="13"/>
      <c r="I43" s="13">
        <v>0</v>
      </c>
      <c r="J43" s="13"/>
      <c r="K43" s="13">
        <v>0</v>
      </c>
      <c r="L43" s="13"/>
      <c r="M43" s="13">
        <v>0</v>
      </c>
      <c r="N43" s="13"/>
      <c r="O43" s="13">
        <v>0</v>
      </c>
      <c r="P43" s="13"/>
      <c r="Q43" s="13">
        <v>0</v>
      </c>
      <c r="R43" s="13"/>
      <c r="S43" s="13">
        <v>0</v>
      </c>
      <c r="T43" s="13"/>
      <c r="U43" s="13">
        <v>0</v>
      </c>
      <c r="V43" s="13"/>
      <c r="W43" s="13">
        <v>0</v>
      </c>
      <c r="X43" s="13"/>
      <c r="Y43" s="13">
        <v>0</v>
      </c>
      <c r="Z43" s="13"/>
      <c r="AA43" s="13">
        <v>0</v>
      </c>
      <c r="AB43" s="13"/>
      <c r="AC43" s="13">
        <f t="shared" si="2"/>
        <v>0</v>
      </c>
      <c r="AD43" s="13"/>
      <c r="AE43" s="86">
        <f t="shared" si="3"/>
        <v>0</v>
      </c>
      <c r="AF43" s="15"/>
      <c r="AG43" s="13">
        <v>0</v>
      </c>
      <c r="AH43" s="16"/>
      <c r="AI43" s="13">
        <v>0</v>
      </c>
      <c r="AJ43" s="16"/>
      <c r="AK43" s="16">
        <v>0</v>
      </c>
      <c r="AL43" s="16"/>
      <c r="AM43" s="16">
        <f>+'Gov Fd Rv'!Q43+'Gov Fd Rv'!S43-'Gov Fnd Exp'!AC43-AG43+AI43-'Gov Fd BS'!O44+AK43</f>
        <v>0</v>
      </c>
    </row>
    <row r="44" spans="1:39" ht="12.75">
      <c r="A44" s="14" t="s">
        <v>42</v>
      </c>
      <c r="B44" s="14"/>
      <c r="C44" s="13">
        <v>2885706</v>
      </c>
      <c r="D44" s="13"/>
      <c r="E44" s="13">
        <v>1514561</v>
      </c>
      <c r="F44" s="13"/>
      <c r="G44" s="13">
        <v>2872713</v>
      </c>
      <c r="H44" s="13"/>
      <c r="I44" s="13">
        <v>3365847</v>
      </c>
      <c r="J44" s="13"/>
      <c r="K44" s="13">
        <v>3357840</v>
      </c>
      <c r="L44" s="13"/>
      <c r="M44" s="13">
        <v>8177011</v>
      </c>
      <c r="N44" s="13"/>
      <c r="O44" s="13">
        <v>565840</v>
      </c>
      <c r="P44" s="13"/>
      <c r="Q44" s="13">
        <v>227527</v>
      </c>
      <c r="R44" s="13"/>
      <c r="S44" s="13">
        <v>68673</v>
      </c>
      <c r="T44" s="13"/>
      <c r="U44" s="13">
        <v>85134</v>
      </c>
      <c r="V44" s="13"/>
      <c r="W44" s="13">
        <v>12064</v>
      </c>
      <c r="X44" s="13"/>
      <c r="Y44" s="13">
        <v>225152</v>
      </c>
      <c r="Z44" s="13"/>
      <c r="AA44" s="13">
        <v>63596</v>
      </c>
      <c r="AB44" s="13"/>
      <c r="AC44" s="13">
        <f t="shared" si="2"/>
        <v>23421664</v>
      </c>
      <c r="AD44" s="13"/>
      <c r="AE44" s="86">
        <f t="shared" si="3"/>
        <v>23035718</v>
      </c>
      <c r="AF44" s="15"/>
      <c r="AG44" s="13">
        <v>623671</v>
      </c>
      <c r="AH44" s="16"/>
      <c r="AI44" s="13">
        <v>10452021</v>
      </c>
      <c r="AJ44" s="16"/>
      <c r="AK44" s="16">
        <v>0</v>
      </c>
      <c r="AL44" s="16"/>
      <c r="AM44" s="16">
        <f>+'Gov Fd Rv'!Q44+'Gov Fd Rv'!S44-'Gov Fnd Exp'!AC44-AG44+AI44-'Gov Fd BS'!O45+AK44</f>
        <v>0</v>
      </c>
    </row>
    <row r="45" spans="1:39" ht="12.75">
      <c r="A45" s="14" t="s">
        <v>43</v>
      </c>
      <c r="B45" s="14"/>
      <c r="C45" s="13">
        <v>4715180</v>
      </c>
      <c r="D45" s="13"/>
      <c r="E45" s="13">
        <v>1579585</v>
      </c>
      <c r="F45" s="13"/>
      <c r="G45" s="13">
        <v>3906278</v>
      </c>
      <c r="H45" s="13"/>
      <c r="I45" s="13">
        <v>6361169</v>
      </c>
      <c r="J45" s="13"/>
      <c r="K45" s="13">
        <v>200318</v>
      </c>
      <c r="L45" s="13"/>
      <c r="M45" s="13">
        <v>12190408</v>
      </c>
      <c r="N45" s="13"/>
      <c r="O45" s="13">
        <v>0</v>
      </c>
      <c r="P45" s="13"/>
      <c r="Q45" s="13">
        <v>328967</v>
      </c>
      <c r="R45" s="13"/>
      <c r="S45" s="13">
        <v>0</v>
      </c>
      <c r="T45" s="13"/>
      <c r="U45" s="13">
        <v>376082</v>
      </c>
      <c r="V45" s="13"/>
      <c r="W45" s="13">
        <v>227200</v>
      </c>
      <c r="X45" s="13"/>
      <c r="Y45" s="13">
        <v>293000</v>
      </c>
      <c r="Z45" s="13"/>
      <c r="AA45" s="13">
        <v>246958</v>
      </c>
      <c r="AB45" s="13"/>
      <c r="AC45" s="13">
        <f t="shared" si="2"/>
        <v>30425145</v>
      </c>
      <c r="AD45" s="13"/>
      <c r="AE45" s="86">
        <f t="shared" si="3"/>
        <v>29281905</v>
      </c>
      <c r="AF45" s="15"/>
      <c r="AG45" s="13">
        <f>1690440+377399</f>
        <v>2067839</v>
      </c>
      <c r="AH45" s="16"/>
      <c r="AI45" s="13">
        <v>11063282</v>
      </c>
      <c r="AJ45" s="16"/>
      <c r="AK45" s="16">
        <v>0</v>
      </c>
      <c r="AL45" s="16"/>
      <c r="AM45" s="16">
        <f>+'Gov Fd Rv'!Q45+'Gov Fd Rv'!S45-'Gov Fnd Exp'!AC45-AG45+AI45-'Gov Fd BS'!O46+AK45</f>
        <v>0</v>
      </c>
    </row>
    <row r="46" spans="1:39" ht="12.75">
      <c r="A46" s="14" t="s">
        <v>44</v>
      </c>
      <c r="B46" s="14"/>
      <c r="C46" s="13">
        <v>6416236</v>
      </c>
      <c r="D46" s="13"/>
      <c r="E46" s="13">
        <v>2479488</v>
      </c>
      <c r="F46" s="13"/>
      <c r="G46" s="13">
        <v>5477934</v>
      </c>
      <c r="H46" s="13"/>
      <c r="I46" s="13">
        <v>5943903</v>
      </c>
      <c r="J46" s="13"/>
      <c r="K46" s="13">
        <v>8078797</v>
      </c>
      <c r="L46" s="13"/>
      <c r="M46" s="13">
        <v>13416399</v>
      </c>
      <c r="N46" s="13"/>
      <c r="O46" s="13">
        <v>0</v>
      </c>
      <c r="P46" s="13"/>
      <c r="Q46" s="13">
        <v>137654</v>
      </c>
      <c r="R46" s="13"/>
      <c r="S46" s="13">
        <v>439636</v>
      </c>
      <c r="T46" s="13"/>
      <c r="U46" s="13">
        <v>360609</v>
      </c>
      <c r="V46" s="13"/>
      <c r="W46" s="13">
        <v>0</v>
      </c>
      <c r="X46" s="13"/>
      <c r="Y46" s="13">
        <v>845000</v>
      </c>
      <c r="Z46" s="13"/>
      <c r="AA46" s="13">
        <f>354151+10000</f>
        <v>364151</v>
      </c>
      <c r="AB46" s="13"/>
      <c r="AC46" s="13">
        <f t="shared" si="2"/>
        <v>43959807</v>
      </c>
      <c r="AD46" s="13"/>
      <c r="AE46" s="86">
        <f t="shared" si="3"/>
        <v>42390047</v>
      </c>
      <c r="AF46" s="15"/>
      <c r="AG46" s="13">
        <v>1888558</v>
      </c>
      <c r="AH46" s="16"/>
      <c r="AI46" s="13">
        <v>13850346</v>
      </c>
      <c r="AJ46" s="16"/>
      <c r="AK46" s="16">
        <v>0</v>
      </c>
      <c r="AL46" s="16"/>
      <c r="AM46" s="16">
        <f>+'Gov Fd Rv'!Q46+'Gov Fd Rv'!S46-'Gov Fnd Exp'!AC46-AG46+AI46-'Gov Fd BS'!O47+AK46</f>
        <v>0</v>
      </c>
    </row>
    <row r="47" spans="1:39" ht="12.75" hidden="1">
      <c r="A47" s="14" t="s">
        <v>255</v>
      </c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>
        <f t="shared" si="2"/>
        <v>0</v>
      </c>
      <c r="AD47" s="13"/>
      <c r="AE47" s="86">
        <f t="shared" si="3"/>
        <v>0</v>
      </c>
      <c r="AF47" s="15"/>
      <c r="AG47" s="13"/>
      <c r="AH47" s="16"/>
      <c r="AI47" s="13"/>
      <c r="AJ47" s="16"/>
      <c r="AK47" s="16"/>
      <c r="AL47" s="16"/>
      <c r="AM47" s="16">
        <f>+'Gov Fd Rv'!Q47+'Gov Fd Rv'!S47-'Gov Fnd Exp'!AC47-AG47+AI47-'Gov Fd BS'!O48+AK47</f>
        <v>0</v>
      </c>
    </row>
    <row r="48" spans="1:39" ht="12.75">
      <c r="A48" s="14" t="s">
        <v>46</v>
      </c>
      <c r="B48" s="14"/>
      <c r="C48" s="13">
        <v>5821172</v>
      </c>
      <c r="D48" s="13"/>
      <c r="E48" s="13">
        <v>3832535</v>
      </c>
      <c r="F48" s="13"/>
      <c r="G48" s="13">
        <v>10148699</v>
      </c>
      <c r="H48" s="13"/>
      <c r="I48" s="13">
        <v>7518752</v>
      </c>
      <c r="J48" s="13"/>
      <c r="K48" s="13">
        <v>17226039</v>
      </c>
      <c r="L48" s="13"/>
      <c r="M48" s="13">
        <v>21117193</v>
      </c>
      <c r="N48" s="13"/>
      <c r="O48" s="13">
        <v>1180764</v>
      </c>
      <c r="P48" s="13"/>
      <c r="Q48" s="13">
        <v>0</v>
      </c>
      <c r="R48" s="13"/>
      <c r="S48" s="13">
        <v>410380</v>
      </c>
      <c r="T48" s="13"/>
      <c r="U48" s="13">
        <v>2305515</v>
      </c>
      <c r="V48" s="13"/>
      <c r="W48" s="13">
        <v>116436</v>
      </c>
      <c r="X48" s="13"/>
      <c r="Y48" s="13">
        <v>2134861</v>
      </c>
      <c r="Z48" s="13"/>
      <c r="AA48" s="13">
        <f>1378468+556829</f>
        <v>1935297</v>
      </c>
      <c r="AB48" s="13"/>
      <c r="AC48" s="13">
        <f t="shared" si="2"/>
        <v>73747643</v>
      </c>
      <c r="AD48" s="13"/>
      <c r="AE48" s="86">
        <f t="shared" si="3"/>
        <v>67255534</v>
      </c>
      <c r="AF48" s="15"/>
      <c r="AG48" s="13">
        <v>3647784</v>
      </c>
      <c r="AH48" s="16"/>
      <c r="AI48" s="13">
        <v>16104604</v>
      </c>
      <c r="AJ48" s="16"/>
      <c r="AK48" s="16">
        <v>0</v>
      </c>
      <c r="AL48" s="16"/>
      <c r="AM48" s="16">
        <f>+'Gov Fd Rv'!Q48+'Gov Fd Rv'!S48-'Gov Fnd Exp'!AC48-AG48+AI48-'Gov Fd BS'!O49+AK48</f>
        <v>0</v>
      </c>
    </row>
    <row r="49" spans="1:39" ht="12.75">
      <c r="A49" s="14" t="s">
        <v>47</v>
      </c>
      <c r="B49" s="23"/>
      <c r="C49" s="13">
        <v>6377665</v>
      </c>
      <c r="D49" s="13"/>
      <c r="E49" s="13">
        <v>2255843</v>
      </c>
      <c r="F49" s="13"/>
      <c r="G49" s="13">
        <v>5699038</v>
      </c>
      <c r="H49" s="13"/>
      <c r="I49" s="13">
        <v>5094317</v>
      </c>
      <c r="J49" s="13"/>
      <c r="K49" s="13">
        <v>385050</v>
      </c>
      <c r="L49" s="13"/>
      <c r="M49" s="13">
        <v>12259649</v>
      </c>
      <c r="N49" s="13"/>
      <c r="O49" s="13">
        <v>0</v>
      </c>
      <c r="P49" s="13"/>
      <c r="Q49" s="13">
        <v>0</v>
      </c>
      <c r="R49" s="13"/>
      <c r="S49" s="13">
        <v>0</v>
      </c>
      <c r="T49" s="13"/>
      <c r="U49" s="13">
        <v>3457932</v>
      </c>
      <c r="V49" s="13"/>
      <c r="W49" s="13">
        <v>1651020</v>
      </c>
      <c r="X49" s="13"/>
      <c r="Y49" s="13">
        <v>637433</v>
      </c>
      <c r="Z49" s="13"/>
      <c r="AA49" s="13">
        <v>524549</v>
      </c>
      <c r="AB49" s="13"/>
      <c r="AC49" s="13">
        <f t="shared" si="2"/>
        <v>38342496</v>
      </c>
      <c r="AD49" s="13"/>
      <c r="AE49" s="86">
        <f t="shared" si="3"/>
        <v>32071562</v>
      </c>
      <c r="AF49" s="15"/>
      <c r="AG49" s="13">
        <v>2009730</v>
      </c>
      <c r="AH49" s="16"/>
      <c r="AI49" s="13">
        <v>15093685</v>
      </c>
      <c r="AJ49" s="16"/>
      <c r="AK49" s="16">
        <v>63545</v>
      </c>
      <c r="AL49" s="16"/>
      <c r="AM49" s="16">
        <f>+'Gov Fd Rv'!Q49+'Gov Fd Rv'!S49-'Gov Fnd Exp'!AC49-AG49+AI49-'Gov Fd BS'!O50+AK49</f>
        <v>0</v>
      </c>
    </row>
    <row r="50" spans="1:39" ht="12.75">
      <c r="A50" s="14" t="s">
        <v>48</v>
      </c>
      <c r="B50" s="14"/>
      <c r="C50" s="13">
        <v>18280845</v>
      </c>
      <c r="D50" s="13"/>
      <c r="E50" s="13">
        <v>42940930</v>
      </c>
      <c r="F50" s="13"/>
      <c r="G50" s="13">
        <v>0</v>
      </c>
      <c r="H50" s="13"/>
      <c r="I50" s="13">
        <v>12262632</v>
      </c>
      <c r="J50" s="13"/>
      <c r="K50" s="13">
        <v>21868664</v>
      </c>
      <c r="L50" s="13"/>
      <c r="M50" s="13">
        <v>70042391</v>
      </c>
      <c r="N50" s="13"/>
      <c r="O50" s="13">
        <v>3247059</v>
      </c>
      <c r="P50" s="13"/>
      <c r="Q50" s="13">
        <v>0</v>
      </c>
      <c r="R50" s="13"/>
      <c r="S50" s="13">
        <v>0</v>
      </c>
      <c r="T50" s="13"/>
      <c r="U50" s="13">
        <v>6144153</v>
      </c>
      <c r="V50" s="13"/>
      <c r="W50" s="13">
        <v>0</v>
      </c>
      <c r="X50" s="13"/>
      <c r="Y50" s="13">
        <v>2747350</v>
      </c>
      <c r="Z50" s="13"/>
      <c r="AA50" s="13">
        <v>1766030</v>
      </c>
      <c r="AB50" s="13"/>
      <c r="AC50" s="13">
        <f t="shared" si="2"/>
        <v>179300054</v>
      </c>
      <c r="AD50" s="13"/>
      <c r="AE50" s="86">
        <f t="shared" si="3"/>
        <v>168642521</v>
      </c>
      <c r="AF50" s="15"/>
      <c r="AG50" s="13">
        <v>17742141</v>
      </c>
      <c r="AH50" s="16"/>
      <c r="AI50" s="13">
        <v>96163719</v>
      </c>
      <c r="AJ50" s="16"/>
      <c r="AK50" s="16">
        <v>144471</v>
      </c>
      <c r="AL50" s="16"/>
      <c r="AM50" s="16">
        <f>+'Gov Fd Rv'!Q50+'Gov Fd Rv'!S50-'Gov Fnd Exp'!AC50-AG50+AI50-'Gov Fd BS'!O51+AK50</f>
        <v>0</v>
      </c>
    </row>
    <row r="51" spans="1:39" ht="12.75" hidden="1">
      <c r="A51" s="14" t="s">
        <v>170</v>
      </c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>
        <f t="shared" si="2"/>
        <v>0</v>
      </c>
      <c r="AD51" s="13"/>
      <c r="AE51" s="86">
        <f t="shared" si="3"/>
        <v>0</v>
      </c>
      <c r="AF51" s="15"/>
      <c r="AG51" s="13"/>
      <c r="AH51" s="16"/>
      <c r="AI51" s="13"/>
      <c r="AJ51" s="16"/>
      <c r="AK51" s="16">
        <v>0</v>
      </c>
      <c r="AL51" s="16"/>
      <c r="AM51" s="16">
        <f>+'Gov Fd Rv'!Q51+'Gov Fd Rv'!S51-'Gov Fnd Exp'!AC51-AG51+AI51-'Gov Fd BS'!O52+AK51</f>
        <v>0</v>
      </c>
    </row>
    <row r="52" spans="1:39" ht="12.75">
      <c r="A52" s="14" t="s">
        <v>49</v>
      </c>
      <c r="B52" s="14"/>
      <c r="C52" s="13">
        <v>20902737</v>
      </c>
      <c r="D52" s="13"/>
      <c r="E52" s="13">
        <v>0</v>
      </c>
      <c r="F52" s="13"/>
      <c r="G52" s="13">
        <v>20113164</v>
      </c>
      <c r="H52" s="13"/>
      <c r="I52" s="13">
        <v>7206059</v>
      </c>
      <c r="J52" s="13"/>
      <c r="K52" s="13">
        <v>622398</v>
      </c>
      <c r="L52" s="13"/>
      <c r="M52" s="13">
        <v>41642179</v>
      </c>
      <c r="N52" s="13"/>
      <c r="O52" s="13">
        <v>1901297</v>
      </c>
      <c r="P52" s="13"/>
      <c r="Q52" s="13">
        <v>0</v>
      </c>
      <c r="R52" s="13"/>
      <c r="S52" s="13">
        <v>0</v>
      </c>
      <c r="T52" s="13"/>
      <c r="U52" s="13">
        <v>782857</v>
      </c>
      <c r="V52" s="13"/>
      <c r="W52" s="13">
        <v>2906423</v>
      </c>
      <c r="X52" s="13"/>
      <c r="Y52" s="13">
        <v>1110997</v>
      </c>
      <c r="Z52" s="13"/>
      <c r="AA52" s="13">
        <v>798702</v>
      </c>
      <c r="AB52" s="13"/>
      <c r="AC52" s="13">
        <f t="shared" si="2"/>
        <v>97986813</v>
      </c>
      <c r="AD52" s="13"/>
      <c r="AE52" s="86">
        <f t="shared" si="3"/>
        <v>92387834</v>
      </c>
      <c r="AF52" s="15"/>
      <c r="AG52" s="13">
        <v>6792450</v>
      </c>
      <c r="AH52" s="16"/>
      <c r="AI52" s="13">
        <v>31130569</v>
      </c>
      <c r="AJ52" s="16"/>
      <c r="AK52" s="16">
        <v>-4812</v>
      </c>
      <c r="AL52" s="16"/>
      <c r="AM52" s="16">
        <f>+'Gov Fd Rv'!Q52+'Gov Fd Rv'!S52-'Gov Fnd Exp'!AC52-AG52+AI52-'Gov Fd BS'!O53+AK52</f>
        <v>0</v>
      </c>
    </row>
    <row r="53" spans="1:39" ht="12.75">
      <c r="A53" s="14" t="s">
        <v>50</v>
      </c>
      <c r="B53" s="14"/>
      <c r="C53" s="13">
        <v>4778360</v>
      </c>
      <c r="D53" s="13"/>
      <c r="E53" s="13">
        <v>3003593</v>
      </c>
      <c r="F53" s="13"/>
      <c r="G53" s="13">
        <v>6402197</v>
      </c>
      <c r="H53" s="13"/>
      <c r="I53" s="13">
        <v>6890864</v>
      </c>
      <c r="J53" s="13"/>
      <c r="K53" s="13">
        <v>1971387</v>
      </c>
      <c r="L53" s="13"/>
      <c r="M53" s="13">
        <v>17806989</v>
      </c>
      <c r="N53" s="13"/>
      <c r="O53" s="13">
        <v>209526</v>
      </c>
      <c r="P53" s="13"/>
      <c r="Q53" s="13">
        <v>357349</v>
      </c>
      <c r="R53" s="13"/>
      <c r="S53" s="13">
        <v>324351</v>
      </c>
      <c r="T53" s="13"/>
      <c r="U53" s="13">
        <v>0</v>
      </c>
      <c r="V53" s="13"/>
      <c r="W53" s="13">
        <v>0</v>
      </c>
      <c r="X53" s="13"/>
      <c r="Y53" s="13">
        <v>9890000</v>
      </c>
      <c r="Z53" s="13"/>
      <c r="AA53" s="13">
        <v>690223</v>
      </c>
      <c r="AB53" s="13"/>
      <c r="AC53" s="13">
        <f t="shared" si="2"/>
        <v>52324839</v>
      </c>
      <c r="AD53" s="13"/>
      <c r="AE53" s="86">
        <f t="shared" si="3"/>
        <v>41744616</v>
      </c>
      <c r="AF53" s="15"/>
      <c r="AG53" s="13">
        <v>3393741</v>
      </c>
      <c r="AH53" s="16"/>
      <c r="AI53" s="13">
        <v>18697433</v>
      </c>
      <c r="AJ53" s="16"/>
      <c r="AK53" s="16">
        <v>-36408</v>
      </c>
      <c r="AL53" s="16"/>
      <c r="AM53" s="16">
        <f>+'Gov Fd Rv'!Q53+'Gov Fd Rv'!S53-'Gov Fnd Exp'!AC53-AG53+AI53-'Gov Fd BS'!O54+AK53</f>
        <v>0</v>
      </c>
    </row>
    <row r="54" spans="1:39" ht="12.75">
      <c r="A54" s="14" t="s">
        <v>260</v>
      </c>
      <c r="B54" s="14"/>
      <c r="C54" s="13">
        <v>33905413</v>
      </c>
      <c r="D54" s="13"/>
      <c r="E54" s="13">
        <v>15776186</v>
      </c>
      <c r="F54" s="13"/>
      <c r="G54" s="13">
        <v>24222338</v>
      </c>
      <c r="H54" s="13"/>
      <c r="I54" s="13">
        <v>8986186</v>
      </c>
      <c r="J54" s="13"/>
      <c r="K54" s="13">
        <v>44663658</v>
      </c>
      <c r="L54" s="13"/>
      <c r="M54" s="13">
        <v>88039482</v>
      </c>
      <c r="N54" s="13"/>
      <c r="O54" s="13">
        <v>901695</v>
      </c>
      <c r="P54" s="13"/>
      <c r="Q54" s="13">
        <v>0</v>
      </c>
      <c r="R54" s="13"/>
      <c r="S54" s="13">
        <v>0</v>
      </c>
      <c r="T54" s="13"/>
      <c r="U54" s="13">
        <v>10483980</v>
      </c>
      <c r="V54" s="13"/>
      <c r="W54" s="13">
        <v>545241</v>
      </c>
      <c r="X54" s="13"/>
      <c r="Y54" s="13">
        <v>1565698</v>
      </c>
      <c r="Z54" s="13"/>
      <c r="AA54" s="13">
        <v>1844700</v>
      </c>
      <c r="AB54" s="13"/>
      <c r="AC54" s="13">
        <f t="shared" si="2"/>
        <v>230934577</v>
      </c>
      <c r="AD54" s="13"/>
      <c r="AE54" s="86">
        <f t="shared" si="3"/>
        <v>216494958</v>
      </c>
      <c r="AF54" s="15"/>
      <c r="AG54" s="13">
        <v>8237383</v>
      </c>
      <c r="AH54" s="16"/>
      <c r="AI54" s="13">
        <v>106825755</v>
      </c>
      <c r="AJ54" s="16"/>
      <c r="AK54" s="16">
        <v>113308</v>
      </c>
      <c r="AL54" s="16"/>
      <c r="AM54" s="16">
        <f>+'Gov Fd Rv'!Q54+'Gov Fd Rv'!S54-'Gov Fnd Exp'!AC54-AG54+AI54-'Gov Fd BS'!O55+AK54</f>
        <v>0</v>
      </c>
    </row>
    <row r="55" spans="1:39" ht="12.75">
      <c r="A55" s="14" t="s">
        <v>186</v>
      </c>
      <c r="B55" s="14"/>
      <c r="C55" s="13">
        <v>44859000</v>
      </c>
      <c r="D55" s="13"/>
      <c r="E55" s="13">
        <v>58831000</v>
      </c>
      <c r="F55" s="13"/>
      <c r="G55" s="13">
        <v>82034000</v>
      </c>
      <c r="H55" s="13"/>
      <c r="I55" s="13">
        <v>14442000</v>
      </c>
      <c r="J55" s="13"/>
      <c r="K55" s="13">
        <v>110574000</v>
      </c>
      <c r="L55" s="13"/>
      <c r="M55" s="13">
        <v>128676000</v>
      </c>
      <c r="N55" s="13"/>
      <c r="O55" s="13">
        <v>0</v>
      </c>
      <c r="P55" s="13"/>
      <c r="Q55" s="13">
        <v>6900000</v>
      </c>
      <c r="R55" s="13"/>
      <c r="S55" s="13">
        <v>7148000</v>
      </c>
      <c r="T55" s="13"/>
      <c r="U55" s="13">
        <v>9553000</v>
      </c>
      <c r="V55" s="13"/>
      <c r="W55" s="13">
        <v>0</v>
      </c>
      <c r="X55" s="13"/>
      <c r="Y55" s="13">
        <v>8071000</v>
      </c>
      <c r="Z55" s="13"/>
      <c r="AA55" s="13">
        <v>4189000</v>
      </c>
      <c r="AB55" s="13"/>
      <c r="AC55" s="13">
        <f t="shared" si="2"/>
        <v>475277000</v>
      </c>
      <c r="AD55" s="13"/>
      <c r="AE55" s="86">
        <f t="shared" si="3"/>
        <v>453464000</v>
      </c>
      <c r="AF55" s="15"/>
      <c r="AG55" s="13">
        <v>23688000</v>
      </c>
      <c r="AH55" s="16"/>
      <c r="AI55" s="13">
        <v>165624000</v>
      </c>
      <c r="AJ55" s="16"/>
      <c r="AK55" s="16">
        <v>0</v>
      </c>
      <c r="AL55" s="16"/>
      <c r="AM55" s="16">
        <f>+'Gov Fd Rv'!Q55+'Gov Fd Rv'!S55-'Gov Fnd Exp'!AC55-AG55+AI55-'Gov Fd BS'!O56+AK55</f>
        <v>0</v>
      </c>
    </row>
    <row r="56" spans="1:39" ht="12.75" hidden="1">
      <c r="A56" s="14" t="s">
        <v>52</v>
      </c>
      <c r="B56" s="1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>
        <f t="shared" si="2"/>
        <v>0</v>
      </c>
      <c r="AD56" s="13"/>
      <c r="AE56" s="86">
        <f t="shared" si="3"/>
        <v>0</v>
      </c>
      <c r="AF56" s="15"/>
      <c r="AG56" s="13"/>
      <c r="AH56" s="16"/>
      <c r="AI56" s="13"/>
      <c r="AJ56" s="16"/>
      <c r="AK56" s="16"/>
      <c r="AL56" s="16"/>
      <c r="AM56" s="16">
        <f>+'Gov Fd Rv'!Q56+'Gov Fd Rv'!S56-'Gov Fnd Exp'!AC56-AG56+AI56-'Gov Fd BS'!O57+AK56</f>
        <v>0</v>
      </c>
    </row>
    <row r="57" spans="1:39" ht="12.75">
      <c r="A57" s="14" t="s">
        <v>53</v>
      </c>
      <c r="B57" s="14"/>
      <c r="C57" s="13">
        <v>25349352</v>
      </c>
      <c r="D57" s="13"/>
      <c r="E57" s="13">
        <v>17687147</v>
      </c>
      <c r="F57" s="13"/>
      <c r="G57" s="13">
        <v>20967016</v>
      </c>
      <c r="H57" s="13"/>
      <c r="I57" s="13">
        <v>10120032</v>
      </c>
      <c r="J57" s="13"/>
      <c r="K57" s="13">
        <v>48323938</v>
      </c>
      <c r="L57" s="13"/>
      <c r="M57" s="13">
        <v>59115648</v>
      </c>
      <c r="N57" s="13"/>
      <c r="O57" s="13">
        <v>0</v>
      </c>
      <c r="P57" s="13"/>
      <c r="Q57" s="13">
        <v>0</v>
      </c>
      <c r="R57" s="13"/>
      <c r="S57" s="13">
        <v>0</v>
      </c>
      <c r="T57" s="13"/>
      <c r="U57" s="13">
        <v>3820814</v>
      </c>
      <c r="V57" s="13"/>
      <c r="W57" s="13">
        <v>0</v>
      </c>
      <c r="X57" s="13"/>
      <c r="Y57" s="13">
        <v>5785189</v>
      </c>
      <c r="Z57" s="13"/>
      <c r="AA57" s="13">
        <f>2107619+310807</f>
        <v>2418426</v>
      </c>
      <c r="AB57" s="13"/>
      <c r="AC57" s="13">
        <f t="shared" si="2"/>
        <v>193587562</v>
      </c>
      <c r="AD57" s="13"/>
      <c r="AE57" s="86">
        <f t="shared" si="3"/>
        <v>181563133</v>
      </c>
      <c r="AF57" s="15"/>
      <c r="AG57" s="13">
        <v>13853571</v>
      </c>
      <c r="AH57" s="16"/>
      <c r="AI57" s="13">
        <v>62957961</v>
      </c>
      <c r="AJ57" s="16"/>
      <c r="AK57" s="16">
        <v>0</v>
      </c>
      <c r="AL57" s="16"/>
      <c r="AM57" s="16">
        <f>+'Gov Fd Rv'!Q57+'Gov Fd Rv'!S57-'Gov Fnd Exp'!AC57-AG57+AI57-'Gov Fd BS'!O58+AK57</f>
        <v>0</v>
      </c>
    </row>
    <row r="58" spans="1:39" ht="12.75">
      <c r="A58" s="14" t="s">
        <v>54</v>
      </c>
      <c r="B58" s="14"/>
      <c r="C58" s="13">
        <v>5749148</v>
      </c>
      <c r="D58" s="13"/>
      <c r="E58" s="13">
        <v>2003409</v>
      </c>
      <c r="F58" s="13"/>
      <c r="G58" s="13">
        <v>9627378</v>
      </c>
      <c r="H58" s="13"/>
      <c r="I58" s="13">
        <v>4300495</v>
      </c>
      <c r="J58" s="13"/>
      <c r="K58" s="13">
        <v>6775619</v>
      </c>
      <c r="L58" s="13"/>
      <c r="M58" s="13">
        <v>13041213</v>
      </c>
      <c r="N58" s="13"/>
      <c r="O58" s="13">
        <v>0</v>
      </c>
      <c r="P58" s="13"/>
      <c r="Q58" s="13">
        <v>73000</v>
      </c>
      <c r="R58" s="13"/>
      <c r="S58" s="13">
        <v>0</v>
      </c>
      <c r="T58" s="13"/>
      <c r="U58" s="13">
        <v>5010204</v>
      </c>
      <c r="V58" s="13"/>
      <c r="W58" s="13">
        <v>1016777</v>
      </c>
      <c r="X58" s="13"/>
      <c r="Y58" s="13">
        <v>451477</v>
      </c>
      <c r="Z58" s="13"/>
      <c r="AA58" s="13">
        <v>494389</v>
      </c>
      <c r="AB58" s="13"/>
      <c r="AC58" s="13">
        <f t="shared" si="2"/>
        <v>48543109</v>
      </c>
      <c r="AD58" s="13"/>
      <c r="AE58" s="86">
        <f t="shared" si="3"/>
        <v>41570262</v>
      </c>
      <c r="AF58" s="15"/>
      <c r="AG58" s="13">
        <v>2241012</v>
      </c>
      <c r="AH58" s="16"/>
      <c r="AI58" s="13">
        <v>22463531</v>
      </c>
      <c r="AJ58" s="16"/>
      <c r="AK58" s="16">
        <v>0</v>
      </c>
      <c r="AL58" s="16"/>
      <c r="AM58" s="16">
        <f>+'Gov Fd Rv'!Q58+'Gov Fd Rv'!S58-'Gov Fnd Exp'!AC58-AG58+AI58-'Gov Fd BS'!O59+AK58</f>
        <v>0</v>
      </c>
    </row>
    <row r="59" spans="1:39" ht="12.75">
      <c r="A59" s="14" t="s">
        <v>55</v>
      </c>
      <c r="B59" s="14"/>
      <c r="C59" s="13">
        <v>14624130</v>
      </c>
      <c r="D59" s="13"/>
      <c r="E59" s="13">
        <v>9361128</v>
      </c>
      <c r="F59" s="13"/>
      <c r="G59" s="13">
        <v>19461404</v>
      </c>
      <c r="H59" s="13"/>
      <c r="I59" s="13">
        <v>8261993</v>
      </c>
      <c r="J59" s="13"/>
      <c r="K59" s="13">
        <v>23318054</v>
      </c>
      <c r="L59" s="13"/>
      <c r="M59" s="13">
        <v>19353620</v>
      </c>
      <c r="N59" s="13"/>
      <c r="O59" s="13">
        <v>592911</v>
      </c>
      <c r="P59" s="13"/>
      <c r="Q59" s="13">
        <v>0</v>
      </c>
      <c r="R59" s="13"/>
      <c r="S59" s="13">
        <v>0</v>
      </c>
      <c r="T59" s="13"/>
      <c r="U59" s="13">
        <v>2028664</v>
      </c>
      <c r="V59" s="13"/>
      <c r="W59" s="13">
        <v>418685</v>
      </c>
      <c r="X59" s="13"/>
      <c r="Y59" s="13">
        <v>2715932</v>
      </c>
      <c r="Z59" s="13"/>
      <c r="AA59" s="13">
        <v>721008</v>
      </c>
      <c r="AB59" s="13"/>
      <c r="AC59" s="13">
        <f t="shared" si="2"/>
        <v>100857529</v>
      </c>
      <c r="AD59" s="13"/>
      <c r="AE59" s="86">
        <f t="shared" si="3"/>
        <v>94973240</v>
      </c>
      <c r="AF59" s="15"/>
      <c r="AG59" s="13">
        <v>3652923</v>
      </c>
      <c r="AH59" s="16"/>
      <c r="AI59" s="13">
        <v>42302801</v>
      </c>
      <c r="AJ59" s="16"/>
      <c r="AK59" s="16">
        <v>0</v>
      </c>
      <c r="AL59" s="16"/>
      <c r="AM59" s="16">
        <f>+'Gov Fd Rv'!Q59+'Gov Fd Rv'!S59-'Gov Fnd Exp'!AC59-AG59+AI59-'Gov Fd BS'!O60+AK59</f>
        <v>0</v>
      </c>
    </row>
    <row r="60" spans="1:39" ht="12.75" hidden="1">
      <c r="A60" s="14" t="s">
        <v>171</v>
      </c>
      <c r="B60" s="14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>
        <f t="shared" si="2"/>
        <v>0</v>
      </c>
      <c r="AD60" s="13"/>
      <c r="AE60" s="86">
        <f t="shared" si="3"/>
        <v>0</v>
      </c>
      <c r="AF60" s="15"/>
      <c r="AG60" s="13"/>
      <c r="AH60" s="16"/>
      <c r="AI60" s="13"/>
      <c r="AJ60" s="16"/>
      <c r="AK60" s="16">
        <v>0</v>
      </c>
      <c r="AL60" s="16"/>
      <c r="AM60" s="16">
        <f>+'Gov Fd Rv'!Q60+'Gov Fd Rv'!S60-'Gov Fnd Exp'!AC60-AG60+AI60-'Gov Fd BS'!O61+AK60</f>
        <v>0</v>
      </c>
    </row>
    <row r="61" spans="1:39" ht="12.75" hidden="1">
      <c r="A61" s="14" t="s">
        <v>56</v>
      </c>
      <c r="B61" s="14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>
        <f t="shared" si="2"/>
        <v>0</v>
      </c>
      <c r="AD61" s="13"/>
      <c r="AE61" s="86">
        <f t="shared" si="3"/>
        <v>0</v>
      </c>
      <c r="AF61" s="15"/>
      <c r="AG61" s="13"/>
      <c r="AH61" s="16"/>
      <c r="AI61" s="13"/>
      <c r="AJ61" s="16"/>
      <c r="AK61" s="16"/>
      <c r="AL61" s="16"/>
      <c r="AM61" s="16">
        <f>+'Gov Fd Rv'!Q61+'Gov Fd Rv'!S61-'Gov Fnd Exp'!AC61-AG61+AI61-'Gov Fd BS'!O62+AK61</f>
        <v>0</v>
      </c>
    </row>
    <row r="62" spans="1:39" ht="12.75">
      <c r="A62" s="14" t="s">
        <v>57</v>
      </c>
      <c r="B62" s="14"/>
      <c r="C62" s="13">
        <v>14194800</v>
      </c>
      <c r="D62" s="13"/>
      <c r="E62" s="13">
        <v>0</v>
      </c>
      <c r="F62" s="13"/>
      <c r="G62" s="13">
        <v>17106536</v>
      </c>
      <c r="H62" s="13"/>
      <c r="I62" s="13">
        <v>8912625</v>
      </c>
      <c r="J62" s="13"/>
      <c r="K62" s="13">
        <v>12164068</v>
      </c>
      <c r="L62" s="13"/>
      <c r="M62" s="13">
        <v>13714744</v>
      </c>
      <c r="N62" s="13"/>
      <c r="O62" s="13">
        <v>0</v>
      </c>
      <c r="P62" s="13"/>
      <c r="Q62" s="13">
        <v>591531</v>
      </c>
      <c r="R62" s="13"/>
      <c r="S62" s="13">
        <v>0</v>
      </c>
      <c r="T62" s="13"/>
      <c r="U62" s="13">
        <v>403473</v>
      </c>
      <c r="V62" s="13"/>
      <c r="W62" s="13">
        <v>0</v>
      </c>
      <c r="X62" s="13"/>
      <c r="Y62" s="13">
        <v>575550</v>
      </c>
      <c r="Z62" s="13"/>
      <c r="AA62" s="13">
        <v>277989</v>
      </c>
      <c r="AB62" s="13"/>
      <c r="AC62" s="13">
        <f t="shared" si="2"/>
        <v>67941316</v>
      </c>
      <c r="AD62" s="13"/>
      <c r="AE62" s="86">
        <f t="shared" si="3"/>
        <v>66684304</v>
      </c>
      <c r="AF62" s="15"/>
      <c r="AG62" s="13">
        <v>1382344</v>
      </c>
      <c r="AH62" s="16"/>
      <c r="AI62" s="13">
        <v>44824451</v>
      </c>
      <c r="AJ62" s="16"/>
      <c r="AK62" s="16">
        <v>389</v>
      </c>
      <c r="AL62" s="16"/>
      <c r="AM62" s="16">
        <f>+'Gov Fd Rv'!Q62+'Gov Fd Rv'!S62-'Gov Fnd Exp'!AC62-AG62+AI62-'Gov Fd BS'!O63+AK62</f>
        <v>0</v>
      </c>
    </row>
    <row r="63" spans="1:39" ht="12.75">
      <c r="A63" s="14" t="s">
        <v>58</v>
      </c>
      <c r="B63" s="23"/>
      <c r="C63" s="13">
        <v>1579141</v>
      </c>
      <c r="D63" s="13"/>
      <c r="E63" s="13">
        <v>685460</v>
      </c>
      <c r="F63" s="13"/>
      <c r="G63" s="13">
        <v>1717401</v>
      </c>
      <c r="H63" s="13"/>
      <c r="I63" s="13">
        <v>3099491</v>
      </c>
      <c r="J63" s="13"/>
      <c r="K63" s="13">
        <v>1828281</v>
      </c>
      <c r="L63" s="13"/>
      <c r="M63" s="13">
        <v>7502623</v>
      </c>
      <c r="N63" s="13"/>
      <c r="O63" s="13">
        <v>548061</v>
      </c>
      <c r="P63" s="13"/>
      <c r="Q63" s="13">
        <v>0</v>
      </c>
      <c r="R63" s="13"/>
      <c r="S63" s="13">
        <v>0</v>
      </c>
      <c r="T63" s="13"/>
      <c r="U63" s="13">
        <v>485030</v>
      </c>
      <c r="V63" s="13"/>
      <c r="W63" s="13"/>
      <c r="X63" s="13"/>
      <c r="Y63" s="13">
        <v>11907</v>
      </c>
      <c r="Z63" s="13"/>
      <c r="AA63" s="13">
        <v>15315</v>
      </c>
      <c r="AB63" s="13"/>
      <c r="AC63" s="13">
        <f t="shared" si="2"/>
        <v>17472710</v>
      </c>
      <c r="AD63" s="13"/>
      <c r="AE63" s="86">
        <f t="shared" si="3"/>
        <v>16960458</v>
      </c>
      <c r="AF63" s="15"/>
      <c r="AG63" s="13">
        <v>364164</v>
      </c>
      <c r="AH63" s="16"/>
      <c r="AI63" s="13">
        <v>5579989</v>
      </c>
      <c r="AJ63" s="16"/>
      <c r="AK63" s="16">
        <v>0</v>
      </c>
      <c r="AL63" s="16"/>
      <c r="AM63" s="16">
        <f>+'Gov Fd Rv'!Q63+'Gov Fd Rv'!S63-'Gov Fnd Exp'!AC63-AG63+AI63-'Gov Fd BS'!O64+AK63</f>
        <v>0</v>
      </c>
    </row>
    <row r="64" spans="1:39" ht="12.75">
      <c r="A64" s="14" t="s">
        <v>59</v>
      </c>
      <c r="B64" s="14"/>
      <c r="C64" s="13">
        <v>32432866</v>
      </c>
      <c r="D64" s="13"/>
      <c r="E64" s="13">
        <v>139044314</v>
      </c>
      <c r="F64" s="13"/>
      <c r="G64" s="13">
        <v>0</v>
      </c>
      <c r="H64" s="13"/>
      <c r="I64" s="13">
        <v>18315625</v>
      </c>
      <c r="J64" s="13"/>
      <c r="K64" s="13">
        <v>0</v>
      </c>
      <c r="L64" s="13"/>
      <c r="M64" s="13">
        <v>259340991</v>
      </c>
      <c r="N64" s="13"/>
      <c r="O64" s="13">
        <v>11823769</v>
      </c>
      <c r="P64" s="13"/>
      <c r="Q64" s="13">
        <v>0</v>
      </c>
      <c r="R64" s="13"/>
      <c r="S64" s="13">
        <v>0</v>
      </c>
      <c r="T64" s="13"/>
      <c r="U64" s="13">
        <v>29134338</v>
      </c>
      <c r="V64" s="13"/>
      <c r="W64" s="13">
        <f>103300+16382072+3298625+237188</f>
        <v>20021185</v>
      </c>
      <c r="X64" s="13"/>
      <c r="Y64" s="13">
        <v>2718304</v>
      </c>
      <c r="Z64" s="13"/>
      <c r="AA64" s="13">
        <v>2555983</v>
      </c>
      <c r="AB64" s="13"/>
      <c r="AC64" s="13">
        <f t="shared" si="2"/>
        <v>515387375</v>
      </c>
      <c r="AD64" s="13"/>
      <c r="AE64" s="86">
        <f t="shared" si="3"/>
        <v>460957565</v>
      </c>
      <c r="AF64" s="15"/>
      <c r="AG64" s="13">
        <v>125905633</v>
      </c>
      <c r="AH64" s="16"/>
      <c r="AI64" s="13">
        <v>264439944</v>
      </c>
      <c r="AJ64" s="16"/>
      <c r="AK64" s="16">
        <v>0</v>
      </c>
      <c r="AL64" s="16"/>
      <c r="AM64" s="16">
        <f>+'Gov Fd Rv'!Q64+'Gov Fd Rv'!S64-'Gov Fnd Exp'!AC64-AG64+AI64-'Gov Fd BS'!O65+AK64</f>
        <v>0</v>
      </c>
    </row>
    <row r="65" spans="1:39" ht="12.75" hidden="1">
      <c r="A65" s="14" t="s">
        <v>60</v>
      </c>
      <c r="B65" s="14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>
        <f t="shared" si="2"/>
        <v>0</v>
      </c>
      <c r="AD65" s="13"/>
      <c r="AE65" s="86">
        <f t="shared" si="3"/>
        <v>0</v>
      </c>
      <c r="AF65" s="15"/>
      <c r="AG65" s="13"/>
      <c r="AH65" s="16"/>
      <c r="AI65" s="13"/>
      <c r="AJ65" s="16"/>
      <c r="AK65" s="16"/>
      <c r="AL65" s="16"/>
      <c r="AM65" s="16">
        <f>+'Gov Fd Rv'!Q65+'Gov Fd Rv'!S65-'Gov Fnd Exp'!AC65-AG65+AI65-'Gov Fd BS'!O66+AK65</f>
        <v>0</v>
      </c>
    </row>
    <row r="66" spans="1:39" ht="12.75">
      <c r="A66" s="14" t="s">
        <v>97</v>
      </c>
      <c r="B66" s="14"/>
      <c r="C66" s="13">
        <v>3618078</v>
      </c>
      <c r="D66" s="13"/>
      <c r="E66" s="13">
        <v>1666817</v>
      </c>
      <c r="F66" s="13"/>
      <c r="G66" s="13">
        <v>4972060</v>
      </c>
      <c r="H66" s="13"/>
      <c r="I66" s="13">
        <v>3613371</v>
      </c>
      <c r="J66" s="13"/>
      <c r="K66" s="13">
        <v>2026208</v>
      </c>
      <c r="L66" s="13"/>
      <c r="M66" s="13">
        <v>7232501</v>
      </c>
      <c r="N66" s="13"/>
      <c r="O66" s="13">
        <v>71617</v>
      </c>
      <c r="P66" s="13"/>
      <c r="Q66" s="13">
        <v>0</v>
      </c>
      <c r="R66" s="13"/>
      <c r="S66" s="13">
        <v>730520</v>
      </c>
      <c r="T66" s="13"/>
      <c r="U66" s="13">
        <v>668328</v>
      </c>
      <c r="V66" s="13"/>
      <c r="W66" s="13">
        <v>423974</v>
      </c>
      <c r="X66" s="13"/>
      <c r="Y66" s="13">
        <v>4991367</v>
      </c>
      <c r="Z66" s="13"/>
      <c r="AA66" s="13">
        <v>286523</v>
      </c>
      <c r="AB66" s="13"/>
      <c r="AC66" s="13">
        <f t="shared" si="2"/>
        <v>30301364</v>
      </c>
      <c r="AD66" s="13"/>
      <c r="AE66" s="86">
        <f t="shared" si="3"/>
        <v>23931172</v>
      </c>
      <c r="AF66" s="15"/>
      <c r="AG66" s="13">
        <v>57300</v>
      </c>
      <c r="AH66" s="16"/>
      <c r="AI66" s="13">
        <v>11554340</v>
      </c>
      <c r="AJ66" s="16"/>
      <c r="AK66" s="16">
        <v>0</v>
      </c>
      <c r="AL66" s="16"/>
      <c r="AM66" s="16">
        <f>+'Gov Fd Rv'!Q66+'Gov Fd Rv'!S66-'Gov Fnd Exp'!AC66-AG66+AI66-'Gov Fd BS'!O67+AK66</f>
        <v>0</v>
      </c>
    </row>
    <row r="67" spans="1:39" ht="12.75">
      <c r="A67" s="14" t="s">
        <v>61</v>
      </c>
      <c r="B67" s="14"/>
      <c r="C67" s="13">
        <v>9062973</v>
      </c>
      <c r="D67" s="13"/>
      <c r="E67" s="13">
        <v>6046194</v>
      </c>
      <c r="F67" s="13"/>
      <c r="G67" s="13">
        <v>10277448</v>
      </c>
      <c r="H67" s="13"/>
      <c r="I67" s="13">
        <v>8490665</v>
      </c>
      <c r="J67" s="13"/>
      <c r="K67" s="13">
        <v>1196040</v>
      </c>
      <c r="L67" s="13"/>
      <c r="M67" s="13">
        <v>37108362</v>
      </c>
      <c r="N67" s="13"/>
      <c r="O67" s="13">
        <v>0</v>
      </c>
      <c r="P67" s="13"/>
      <c r="Q67" s="13">
        <v>0</v>
      </c>
      <c r="R67" s="13"/>
      <c r="S67" s="13">
        <v>0</v>
      </c>
      <c r="T67" s="13"/>
      <c r="U67" s="13">
        <v>2360829</v>
      </c>
      <c r="V67" s="13"/>
      <c r="W67" s="13">
        <v>2827253</v>
      </c>
      <c r="X67" s="13"/>
      <c r="Y67" s="13">
        <v>1109498</v>
      </c>
      <c r="Z67" s="13"/>
      <c r="AA67" s="13">
        <v>812416</v>
      </c>
      <c r="AB67" s="13"/>
      <c r="AC67" s="13">
        <f t="shared" si="2"/>
        <v>79291678</v>
      </c>
      <c r="AD67" s="13"/>
      <c r="AE67" s="86">
        <f t="shared" si="3"/>
        <v>72181682</v>
      </c>
      <c r="AF67" s="15"/>
      <c r="AG67" s="13">
        <v>5631237</v>
      </c>
      <c r="AH67" s="16"/>
      <c r="AI67" s="13">
        <v>34686959</v>
      </c>
      <c r="AJ67" s="16"/>
      <c r="AK67" s="16">
        <v>0</v>
      </c>
      <c r="AL67" s="16"/>
      <c r="AM67" s="16">
        <f>+'Gov Fd Rv'!Q67+'Gov Fd Rv'!S67-'Gov Fnd Exp'!AC67-AG67+AI67-'Gov Fd BS'!O68+AK67</f>
        <v>0</v>
      </c>
    </row>
    <row r="68" spans="1:39" ht="12.75">
      <c r="A68" s="14" t="s">
        <v>62</v>
      </c>
      <c r="B68" s="14"/>
      <c r="C68" s="13">
        <v>1518617</v>
      </c>
      <c r="D68" s="13"/>
      <c r="E68" s="13">
        <v>449698</v>
      </c>
      <c r="F68" s="13"/>
      <c r="G68" s="13">
        <v>1125825</v>
      </c>
      <c r="H68" s="13"/>
      <c r="I68" s="13">
        <v>3146988</v>
      </c>
      <c r="J68" s="13"/>
      <c r="K68" s="13">
        <v>817322</v>
      </c>
      <c r="L68" s="13"/>
      <c r="M68" s="13">
        <v>4706963</v>
      </c>
      <c r="N68" s="13"/>
      <c r="O68" s="13">
        <v>526991</v>
      </c>
      <c r="P68" s="13"/>
      <c r="Q68" s="13">
        <v>0</v>
      </c>
      <c r="R68" s="13"/>
      <c r="S68" s="13">
        <v>0</v>
      </c>
      <c r="T68" s="13"/>
      <c r="U68" s="13">
        <v>316326</v>
      </c>
      <c r="V68" s="13"/>
      <c r="W68" s="13">
        <v>183356</v>
      </c>
      <c r="X68" s="13"/>
      <c r="Y68" s="13">
        <v>105171</v>
      </c>
      <c r="Z68" s="13"/>
      <c r="AA68" s="13">
        <v>57484</v>
      </c>
      <c r="AB68" s="13"/>
      <c r="AC68" s="13">
        <f t="shared" si="2"/>
        <v>12954741</v>
      </c>
      <c r="AD68" s="13"/>
      <c r="AE68" s="86">
        <f t="shared" si="3"/>
        <v>12292404</v>
      </c>
      <c r="AF68" s="15"/>
      <c r="AG68" s="13">
        <v>56801</v>
      </c>
      <c r="AH68" s="16"/>
      <c r="AI68" s="13">
        <v>4761014</v>
      </c>
      <c r="AJ68" s="16"/>
      <c r="AK68" s="16">
        <v>0</v>
      </c>
      <c r="AL68" s="16"/>
      <c r="AM68" s="16">
        <f>+'Gov Fd Rv'!Q68+'Gov Fd Rv'!S68-'Gov Fnd Exp'!AC68-AG68+'Gov Fd Rv'!U68+AI68+AK68-'Gov Fd BS'!O69</f>
        <v>0</v>
      </c>
    </row>
    <row r="69" spans="1:39" ht="12.75">
      <c r="A69" s="14" t="s">
        <v>63</v>
      </c>
      <c r="B69" s="14"/>
      <c r="C69" s="13">
        <v>4629959</v>
      </c>
      <c r="D69" s="13"/>
      <c r="E69" s="13">
        <v>2750501</v>
      </c>
      <c r="F69" s="13"/>
      <c r="G69" s="13">
        <v>5937628</v>
      </c>
      <c r="H69" s="13"/>
      <c r="I69" s="13">
        <v>5676035</v>
      </c>
      <c r="J69" s="13"/>
      <c r="K69" s="13">
        <v>159967</v>
      </c>
      <c r="L69" s="13"/>
      <c r="M69" s="13">
        <v>15082193</v>
      </c>
      <c r="N69" s="13"/>
      <c r="O69" s="13">
        <v>2534</v>
      </c>
      <c r="P69" s="13"/>
      <c r="Q69" s="13">
        <v>12041</v>
      </c>
      <c r="R69" s="13"/>
      <c r="S69" s="13">
        <v>371697</v>
      </c>
      <c r="T69" s="13"/>
      <c r="U69" s="13">
        <v>2077359</v>
      </c>
      <c r="V69" s="13"/>
      <c r="W69" s="13">
        <v>0</v>
      </c>
      <c r="X69" s="13"/>
      <c r="Y69" s="13">
        <v>1841942</v>
      </c>
      <c r="Z69" s="13"/>
      <c r="AA69" s="13">
        <f>1157312+52799</f>
        <v>1210111</v>
      </c>
      <c r="AB69" s="13"/>
      <c r="AC69" s="13">
        <f t="shared" si="2"/>
        <v>39751967</v>
      </c>
      <c r="AD69" s="13"/>
      <c r="AE69" s="86">
        <f t="shared" si="3"/>
        <v>34622555</v>
      </c>
      <c r="AF69" s="15"/>
      <c r="AG69" s="13">
        <v>2455240</v>
      </c>
      <c r="AH69" s="16"/>
      <c r="AI69" s="13">
        <v>13962653</v>
      </c>
      <c r="AJ69" s="16"/>
      <c r="AK69" s="16">
        <v>0</v>
      </c>
      <c r="AL69" s="16"/>
      <c r="AM69" s="16">
        <f>+'Gov Fd Rv'!Q69+'Gov Fd Rv'!S69-'Gov Fnd Exp'!AC69-AG69+'Gov Fd Rv'!U69+AI69+AK69-'Gov Fd BS'!O70</f>
        <v>0</v>
      </c>
    </row>
    <row r="70" spans="1:39" ht="15" customHeight="1" hidden="1">
      <c r="A70" s="14" t="s">
        <v>132</v>
      </c>
      <c r="B70" s="1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>
        <f t="shared" si="2"/>
        <v>0</v>
      </c>
      <c r="AD70" s="13"/>
      <c r="AE70" s="86">
        <f t="shared" si="3"/>
        <v>0</v>
      </c>
      <c r="AF70" s="15"/>
      <c r="AG70" s="13"/>
      <c r="AH70" s="16"/>
      <c r="AI70" s="13"/>
      <c r="AJ70" s="16"/>
      <c r="AK70" s="16"/>
      <c r="AL70" s="16"/>
      <c r="AM70" s="16">
        <f>+'Gov Fd Rv'!Q70+'Gov Fd Rv'!S70-'Gov Fnd Exp'!AC70-AG70+'Gov Fd Rv'!U70+AI70+AK70-'Gov Fd BS'!O71</f>
        <v>0</v>
      </c>
    </row>
    <row r="71" spans="1:39" ht="12.75" hidden="1">
      <c r="A71" s="14" t="s">
        <v>64</v>
      </c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>
        <f t="shared" si="2"/>
        <v>0</v>
      </c>
      <c r="AD71" s="13"/>
      <c r="AE71" s="86">
        <f t="shared" si="3"/>
        <v>0</v>
      </c>
      <c r="AF71" s="15"/>
      <c r="AG71" s="13"/>
      <c r="AH71" s="16"/>
      <c r="AI71" s="13"/>
      <c r="AJ71" s="16"/>
      <c r="AK71" s="16"/>
      <c r="AL71" s="16"/>
      <c r="AM71" s="16">
        <f>+'Gov Fd Rv'!Q71+'Gov Fd Rv'!S71-'Gov Fnd Exp'!AC71-AG71+'Gov Fd Rv'!U71+AI71+AK71-'Gov Fd BS'!O72</f>
        <v>0</v>
      </c>
    </row>
    <row r="72" spans="1:39" ht="12.75">
      <c r="A72" s="14" t="s">
        <v>65</v>
      </c>
      <c r="B72" s="14"/>
      <c r="C72" s="13">
        <f>4664574-109758</f>
        <v>4554816</v>
      </c>
      <c r="D72" s="13"/>
      <c r="E72" s="13">
        <v>1690647</v>
      </c>
      <c r="F72" s="13"/>
      <c r="G72" s="13">
        <v>6294842</v>
      </c>
      <c r="H72" s="13"/>
      <c r="I72" s="13">
        <v>4199695</v>
      </c>
      <c r="J72" s="13"/>
      <c r="K72" s="13">
        <v>3546424</v>
      </c>
      <c r="L72" s="13"/>
      <c r="M72" s="13">
        <v>9629541</v>
      </c>
      <c r="N72" s="13"/>
      <c r="O72" s="13">
        <v>618018</v>
      </c>
      <c r="P72" s="13"/>
      <c r="Q72" s="13">
        <v>396102</v>
      </c>
      <c r="R72" s="13"/>
      <c r="S72" s="13">
        <v>33540</v>
      </c>
      <c r="T72" s="13"/>
      <c r="U72" s="13">
        <v>492538</v>
      </c>
      <c r="V72" s="13"/>
      <c r="W72" s="13">
        <v>0</v>
      </c>
      <c r="X72" s="13"/>
      <c r="Y72" s="13">
        <v>1181993</v>
      </c>
      <c r="Z72" s="13"/>
      <c r="AA72" s="13">
        <v>101581</v>
      </c>
      <c r="AB72" s="13"/>
      <c r="AC72" s="13">
        <f t="shared" si="2"/>
        <v>32739737</v>
      </c>
      <c r="AD72" s="13"/>
      <c r="AE72" s="86">
        <f t="shared" si="3"/>
        <v>30963625</v>
      </c>
      <c r="AF72" s="15"/>
      <c r="AG72" s="13">
        <v>612079</v>
      </c>
      <c r="AH72" s="16"/>
      <c r="AI72" s="13">
        <v>9812656</v>
      </c>
      <c r="AJ72" s="16"/>
      <c r="AK72" s="16">
        <v>0</v>
      </c>
      <c r="AL72" s="16"/>
      <c r="AM72" s="16">
        <f>+'Gov Fd Rv'!Q74+'Gov Fd Rv'!S74-'Gov Fnd Exp'!AC72-AG72+'Gov Fd Rv'!U74+AI72+AK72-'Gov Fd BS'!O73</f>
        <v>0</v>
      </c>
    </row>
    <row r="73" spans="1:39" ht="12.75">
      <c r="A73" s="14" t="s">
        <v>66</v>
      </c>
      <c r="B73" s="14"/>
      <c r="C73" s="13">
        <v>2784837</v>
      </c>
      <c r="D73" s="13"/>
      <c r="E73" s="13">
        <v>1012757</v>
      </c>
      <c r="F73" s="13"/>
      <c r="G73" s="13">
        <v>2485629</v>
      </c>
      <c r="H73" s="13"/>
      <c r="I73" s="13">
        <v>5516312</v>
      </c>
      <c r="J73" s="13"/>
      <c r="K73" s="13">
        <v>3395891</v>
      </c>
      <c r="L73" s="13"/>
      <c r="M73" s="13">
        <v>6151460</v>
      </c>
      <c r="N73" s="13"/>
      <c r="O73" s="13">
        <v>689723</v>
      </c>
      <c r="P73" s="13"/>
      <c r="Q73" s="13">
        <v>309651</v>
      </c>
      <c r="R73" s="13"/>
      <c r="S73" s="13">
        <v>0</v>
      </c>
      <c r="T73" s="13"/>
      <c r="U73" s="13">
        <v>942859</v>
      </c>
      <c r="V73" s="13"/>
      <c r="W73" s="13">
        <v>0</v>
      </c>
      <c r="X73" s="13"/>
      <c r="Y73" s="13">
        <v>82713</v>
      </c>
      <c r="Z73" s="13"/>
      <c r="AA73" s="13">
        <f>81330-3789</f>
        <v>77541</v>
      </c>
      <c r="AB73" s="13"/>
      <c r="AC73" s="13">
        <f t="shared" si="2"/>
        <v>23449373</v>
      </c>
      <c r="AD73" s="13"/>
      <c r="AE73" s="86">
        <f t="shared" si="3"/>
        <v>22346260</v>
      </c>
      <c r="AF73" s="15"/>
      <c r="AG73" s="13">
        <f>25893+341154</f>
        <v>367047</v>
      </c>
      <c r="AH73" s="16"/>
      <c r="AI73" s="13">
        <v>7507069</v>
      </c>
      <c r="AJ73" s="16"/>
      <c r="AK73" s="16">
        <v>0</v>
      </c>
      <c r="AL73" s="16"/>
      <c r="AM73" s="16">
        <f>+'Gov Fd Rv'!Q75+'Gov Fd Rv'!S75-'Gov Fnd Exp'!AC73-AG73+'Gov Fd Rv'!U75+AI73+AK73-'Gov Fd BS'!O74</f>
        <v>0</v>
      </c>
    </row>
    <row r="74" spans="1:39" ht="12.75">
      <c r="A74" s="14" t="s">
        <v>67</v>
      </c>
      <c r="B74" s="14"/>
      <c r="C74" s="13">
        <v>14872833</v>
      </c>
      <c r="D74" s="13"/>
      <c r="E74" s="13">
        <v>9095339</v>
      </c>
      <c r="F74" s="13"/>
      <c r="G74" s="13">
        <v>13861035</v>
      </c>
      <c r="H74" s="13"/>
      <c r="I74" s="13">
        <v>6907059</v>
      </c>
      <c r="J74" s="13"/>
      <c r="K74" s="13">
        <v>32268279</v>
      </c>
      <c r="L74" s="13"/>
      <c r="M74" s="13">
        <v>23713097</v>
      </c>
      <c r="N74" s="13"/>
      <c r="O74" s="13">
        <v>0</v>
      </c>
      <c r="P74" s="13"/>
      <c r="Q74" s="13">
        <v>0</v>
      </c>
      <c r="R74" s="13"/>
      <c r="S74" s="13">
        <v>0</v>
      </c>
      <c r="T74" s="13"/>
      <c r="U74" s="13">
        <v>842788</v>
      </c>
      <c r="V74" s="13"/>
      <c r="W74" s="13">
        <v>0</v>
      </c>
      <c r="X74" s="13"/>
      <c r="Y74" s="13">
        <v>871254</v>
      </c>
      <c r="Z74" s="13"/>
      <c r="AA74" s="13">
        <f>761327+79131</f>
        <v>840458</v>
      </c>
      <c r="AB74" s="13"/>
      <c r="AC74" s="13">
        <f aca="true" t="shared" si="4" ref="AC74:AC97">SUM(C74:AA74)</f>
        <v>103272142</v>
      </c>
      <c r="AD74" s="13"/>
      <c r="AE74" s="86">
        <f aca="true" t="shared" si="5" ref="AE74:AE97">SUM(C74:S74)</f>
        <v>100717642</v>
      </c>
      <c r="AF74" s="15"/>
      <c r="AG74" s="13">
        <f>7554207+1372322</f>
        <v>8926529</v>
      </c>
      <c r="AH74" s="16"/>
      <c r="AI74" s="13">
        <v>42822645</v>
      </c>
      <c r="AJ74" s="16"/>
      <c r="AK74" s="16">
        <v>0</v>
      </c>
      <c r="AL74" s="16"/>
      <c r="AM74" s="16">
        <f>+'Gov Fd Rv'!Q76+'Gov Fd Rv'!S76-'Gov Fnd Exp'!AC74-AG74+'Gov Fd Rv'!U76+AI74+AK74-'Gov Fd BS'!O75</f>
        <v>0</v>
      </c>
    </row>
    <row r="75" spans="1:39" ht="12.75">
      <c r="A75" s="14" t="s">
        <v>68</v>
      </c>
      <c r="B75" s="14"/>
      <c r="C75" s="13">
        <v>3915836</v>
      </c>
      <c r="D75" s="13"/>
      <c r="E75" s="13">
        <v>2032603</v>
      </c>
      <c r="F75" s="13"/>
      <c r="G75" s="13">
        <v>4563808</v>
      </c>
      <c r="H75" s="13"/>
      <c r="I75" s="13">
        <v>4628652</v>
      </c>
      <c r="J75" s="13"/>
      <c r="K75" s="13">
        <v>2251877</v>
      </c>
      <c r="L75" s="13"/>
      <c r="M75" s="13">
        <v>9021547</v>
      </c>
      <c r="N75" s="13"/>
      <c r="O75" s="13">
        <v>770712</v>
      </c>
      <c r="P75" s="13"/>
      <c r="Q75" s="13">
        <v>0</v>
      </c>
      <c r="R75" s="13"/>
      <c r="S75" s="13">
        <v>0</v>
      </c>
      <c r="T75" s="13"/>
      <c r="U75" s="13">
        <v>712786</v>
      </c>
      <c r="V75" s="13"/>
      <c r="W75" s="13">
        <v>275454</v>
      </c>
      <c r="X75" s="13"/>
      <c r="Y75" s="13">
        <v>442358</v>
      </c>
      <c r="Z75" s="13"/>
      <c r="AA75" s="13">
        <f>118221+52730</f>
        <v>170951</v>
      </c>
      <c r="AB75" s="13"/>
      <c r="AC75" s="13">
        <f t="shared" si="4"/>
        <v>28786584</v>
      </c>
      <c r="AD75" s="13"/>
      <c r="AE75" s="86">
        <f t="shared" si="5"/>
        <v>27185035</v>
      </c>
      <c r="AF75" s="15"/>
      <c r="AG75" s="13">
        <f>835642+1128360</f>
        <v>1964002</v>
      </c>
      <c r="AH75" s="16"/>
      <c r="AI75" s="13">
        <v>8702277</v>
      </c>
      <c r="AJ75" s="16"/>
      <c r="AK75" s="16">
        <v>0</v>
      </c>
      <c r="AL75" s="16"/>
      <c r="AM75" s="16">
        <f>+'Gov Fd Rv'!Q77+'Gov Fd Rv'!S77-'Gov Fnd Exp'!AC75-AG75+'Gov Fd Rv'!U77+AI75+AK75-'Gov Fd BS'!O76</f>
        <v>0</v>
      </c>
    </row>
    <row r="76" spans="1:39" ht="12.75" hidden="1">
      <c r="A76" s="14" t="s">
        <v>176</v>
      </c>
      <c r="B76" s="14"/>
      <c r="C76" s="13">
        <v>0</v>
      </c>
      <c r="D76" s="13"/>
      <c r="E76" s="13">
        <v>0</v>
      </c>
      <c r="F76" s="13"/>
      <c r="G76" s="13">
        <v>0</v>
      </c>
      <c r="H76" s="13"/>
      <c r="I76" s="13">
        <v>0</v>
      </c>
      <c r="J76" s="13"/>
      <c r="K76" s="13">
        <v>0</v>
      </c>
      <c r="L76" s="13"/>
      <c r="M76" s="13">
        <v>0</v>
      </c>
      <c r="N76" s="13"/>
      <c r="O76" s="13">
        <v>0</v>
      </c>
      <c r="P76" s="13"/>
      <c r="Q76" s="13">
        <v>0</v>
      </c>
      <c r="R76" s="13"/>
      <c r="S76" s="13">
        <v>0</v>
      </c>
      <c r="T76" s="13"/>
      <c r="U76" s="13">
        <v>0</v>
      </c>
      <c r="V76" s="13"/>
      <c r="W76" s="13">
        <v>0</v>
      </c>
      <c r="X76" s="13"/>
      <c r="Y76" s="13">
        <v>0</v>
      </c>
      <c r="Z76" s="13"/>
      <c r="AA76" s="13">
        <v>0</v>
      </c>
      <c r="AB76" s="13"/>
      <c r="AC76" s="13">
        <f t="shared" si="4"/>
        <v>0</v>
      </c>
      <c r="AD76" s="13"/>
      <c r="AE76" s="86">
        <f t="shared" si="5"/>
        <v>0</v>
      </c>
      <c r="AF76" s="15"/>
      <c r="AG76" s="13">
        <v>0</v>
      </c>
      <c r="AH76" s="16"/>
      <c r="AI76" s="13">
        <v>0</v>
      </c>
      <c r="AJ76" s="16"/>
      <c r="AK76" s="16">
        <v>0</v>
      </c>
      <c r="AL76" s="16"/>
      <c r="AM76" s="16">
        <f>+'Gov Fd Rv'!Q78+'Gov Fd Rv'!S78-'Gov Fnd Exp'!AC76-AG76+'Gov Fd Rv'!U78+AI76+AK76-'Gov Fd BS'!O77</f>
        <v>0</v>
      </c>
    </row>
    <row r="77" spans="1:39" ht="12.75">
      <c r="A77" s="14" t="s">
        <v>181</v>
      </c>
      <c r="B77" s="14"/>
      <c r="C77" s="13">
        <v>14930183</v>
      </c>
      <c r="D77" s="13"/>
      <c r="E77" s="13">
        <v>5335415</v>
      </c>
      <c r="F77" s="13"/>
      <c r="G77" s="13">
        <v>10771916</v>
      </c>
      <c r="H77" s="13"/>
      <c r="I77" s="13">
        <v>5658143</v>
      </c>
      <c r="J77" s="13"/>
      <c r="K77" s="13">
        <v>32597386</v>
      </c>
      <c r="L77" s="13"/>
      <c r="M77" s="13">
        <v>29308085</v>
      </c>
      <c r="N77" s="13"/>
      <c r="O77" s="13">
        <v>287490</v>
      </c>
      <c r="P77" s="13"/>
      <c r="Q77" s="13">
        <v>145106</v>
      </c>
      <c r="R77" s="13"/>
      <c r="S77" s="13">
        <v>16712</v>
      </c>
      <c r="T77" s="13"/>
      <c r="U77" s="13">
        <v>9052978</v>
      </c>
      <c r="V77" s="13"/>
      <c r="W77" s="13">
        <v>1360626</v>
      </c>
      <c r="X77" s="13"/>
      <c r="Y77" s="13">
        <v>5788616</v>
      </c>
      <c r="Z77" s="13"/>
      <c r="AA77" s="13">
        <v>1563040</v>
      </c>
      <c r="AB77" s="13"/>
      <c r="AC77" s="13">
        <f t="shared" si="4"/>
        <v>116815696</v>
      </c>
      <c r="AD77" s="13"/>
      <c r="AE77" s="86">
        <f t="shared" si="5"/>
        <v>99050436</v>
      </c>
      <c r="AF77" s="15"/>
      <c r="AG77" s="13">
        <v>7721158</v>
      </c>
      <c r="AH77" s="16"/>
      <c r="AI77" s="13">
        <v>32677876</v>
      </c>
      <c r="AJ77" s="16"/>
      <c r="AK77" s="16">
        <v>0</v>
      </c>
      <c r="AL77" s="16"/>
      <c r="AM77" s="16">
        <f>+'Gov Fd Rv'!Q79+'Gov Fd Rv'!S79-'Gov Fnd Exp'!AC77-AG77+'Gov Fd Rv'!U79+AI77+AK77-'Gov Fd BS'!O78</f>
        <v>0</v>
      </c>
    </row>
    <row r="78" spans="1:39" ht="12.75">
      <c r="A78" s="14"/>
      <c r="B78" s="14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86"/>
      <c r="AF78" s="15"/>
      <c r="AG78" s="13"/>
      <c r="AH78" s="16"/>
      <c r="AI78" s="13"/>
      <c r="AJ78" s="16"/>
      <c r="AK78" s="16"/>
      <c r="AL78" s="16"/>
      <c r="AM78" s="16"/>
    </row>
    <row r="79" spans="1:39" ht="12.75">
      <c r="A79" s="14"/>
      <c r="B79" s="1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 t="s">
        <v>261</v>
      </c>
      <c r="AD79" s="13"/>
      <c r="AE79" s="86"/>
      <c r="AF79" s="15"/>
      <c r="AG79" s="13"/>
      <c r="AH79" s="16"/>
      <c r="AI79" s="13"/>
      <c r="AJ79" s="16"/>
      <c r="AK79" s="16"/>
      <c r="AL79" s="16"/>
      <c r="AM79" s="16"/>
    </row>
    <row r="80" spans="1:39" s="119" customFormat="1" ht="12.75">
      <c r="A80" s="117" t="s">
        <v>69</v>
      </c>
      <c r="B80" s="117"/>
      <c r="C80" s="115">
        <v>7006090</v>
      </c>
      <c r="D80" s="115"/>
      <c r="E80" s="115">
        <v>3248354</v>
      </c>
      <c r="F80" s="115"/>
      <c r="G80" s="115">
        <v>10507598</v>
      </c>
      <c r="H80" s="115"/>
      <c r="I80" s="115">
        <v>5842494</v>
      </c>
      <c r="J80" s="115"/>
      <c r="K80" s="115">
        <v>691278</v>
      </c>
      <c r="L80" s="115"/>
      <c r="M80" s="115">
        <v>26474650</v>
      </c>
      <c r="N80" s="115"/>
      <c r="O80" s="115">
        <v>2160618</v>
      </c>
      <c r="P80" s="115"/>
      <c r="Q80" s="115">
        <v>0</v>
      </c>
      <c r="R80" s="115"/>
      <c r="S80" s="115">
        <v>0</v>
      </c>
      <c r="T80" s="115"/>
      <c r="U80" s="115">
        <v>4089037</v>
      </c>
      <c r="V80" s="115"/>
      <c r="W80" s="115">
        <v>0</v>
      </c>
      <c r="X80" s="115"/>
      <c r="Y80" s="115">
        <v>820444</v>
      </c>
      <c r="Z80" s="115"/>
      <c r="AA80" s="115">
        <f>513891+187500</f>
        <v>701391</v>
      </c>
      <c r="AB80" s="115"/>
      <c r="AC80" s="115">
        <f t="shared" si="4"/>
        <v>61541954</v>
      </c>
      <c r="AD80" s="115"/>
      <c r="AE80" s="118">
        <f t="shared" si="5"/>
        <v>55931082</v>
      </c>
      <c r="AF80" s="117"/>
      <c r="AG80" s="115">
        <f>1125000+7840300</f>
        <v>8965300</v>
      </c>
      <c r="AH80" s="116"/>
      <c r="AI80" s="115">
        <v>8574547</v>
      </c>
      <c r="AJ80" s="116"/>
      <c r="AK80" s="116">
        <v>0</v>
      </c>
      <c r="AL80" s="116"/>
      <c r="AM80" s="116">
        <f>+'Gov Fd Rv'!Q80+'Gov Fd Rv'!S80-'Gov Fnd Exp'!AC80-AG80+'Gov Fd Rv'!U80+AI80+AK80-'Gov Fd BS'!O81</f>
        <v>0</v>
      </c>
    </row>
    <row r="81" spans="1:39" ht="12.75">
      <c r="A81" s="14" t="s">
        <v>98</v>
      </c>
      <c r="B81" s="14"/>
      <c r="C81" s="13">
        <v>5244663</v>
      </c>
      <c r="D81" s="13"/>
      <c r="E81" s="13">
        <v>3367142</v>
      </c>
      <c r="F81" s="13"/>
      <c r="G81" s="13">
        <v>8637961</v>
      </c>
      <c r="H81" s="13"/>
      <c r="I81" s="13">
        <v>4317136</v>
      </c>
      <c r="J81" s="13"/>
      <c r="K81" s="13">
        <v>343426</v>
      </c>
      <c r="L81" s="13"/>
      <c r="M81" s="13">
        <v>20917831</v>
      </c>
      <c r="N81" s="13"/>
      <c r="O81" s="13">
        <v>1792461</v>
      </c>
      <c r="P81" s="13"/>
      <c r="Q81" s="13">
        <v>0</v>
      </c>
      <c r="R81" s="13"/>
      <c r="S81" s="13">
        <v>221499</v>
      </c>
      <c r="T81" s="13"/>
      <c r="U81" s="13">
        <v>2279780</v>
      </c>
      <c r="V81" s="13"/>
      <c r="W81" s="13">
        <v>170400</v>
      </c>
      <c r="X81" s="13"/>
      <c r="Y81" s="13">
        <v>910348</v>
      </c>
      <c r="Z81" s="13"/>
      <c r="AA81" s="13">
        <v>320220</v>
      </c>
      <c r="AB81" s="13"/>
      <c r="AC81" s="13">
        <f t="shared" si="4"/>
        <v>48522867</v>
      </c>
      <c r="AD81" s="13"/>
      <c r="AE81" s="86">
        <f t="shared" si="5"/>
        <v>44842119</v>
      </c>
      <c r="AF81" s="15"/>
      <c r="AG81" s="13">
        <v>1403123</v>
      </c>
      <c r="AH81" s="16"/>
      <c r="AI81" s="13">
        <v>21506447</v>
      </c>
      <c r="AJ81" s="16"/>
      <c r="AK81" s="16">
        <v>0</v>
      </c>
      <c r="AL81" s="16"/>
      <c r="AM81" s="16">
        <f>+'Gov Fd Rv'!Q81+'Gov Fd Rv'!S81-'Gov Fnd Exp'!AC81-AG81+'Gov Fd Rv'!U81+AI81+AK81-'Gov Fd BS'!O82</f>
        <v>0</v>
      </c>
    </row>
    <row r="82" spans="1:39" s="79" customFormat="1" ht="12.75">
      <c r="A82" s="5" t="s">
        <v>70</v>
      </c>
      <c r="B82" s="5"/>
      <c r="C82" s="13">
        <v>7461059</v>
      </c>
      <c r="D82" s="13"/>
      <c r="E82" s="13">
        <v>2468115</v>
      </c>
      <c r="F82" s="13"/>
      <c r="G82" s="13">
        <f>5612368+2810553</f>
        <v>8422921</v>
      </c>
      <c r="H82" s="13"/>
      <c r="I82" s="13">
        <v>4406389</v>
      </c>
      <c r="J82" s="13"/>
      <c r="K82" s="13">
        <v>8272014</v>
      </c>
      <c r="L82" s="13"/>
      <c r="M82" s="13">
        <v>18329206</v>
      </c>
      <c r="N82" s="13"/>
      <c r="O82" s="13">
        <v>610766</v>
      </c>
      <c r="P82" s="13"/>
      <c r="Q82" s="13">
        <v>359722</v>
      </c>
      <c r="R82" s="13"/>
      <c r="S82" s="13">
        <v>1018986</v>
      </c>
      <c r="T82" s="13"/>
      <c r="U82" s="13">
        <v>3061886</v>
      </c>
      <c r="V82" s="13"/>
      <c r="W82" s="13">
        <v>0</v>
      </c>
      <c r="X82" s="13"/>
      <c r="Y82" s="13">
        <v>1467722</v>
      </c>
      <c r="Z82" s="13"/>
      <c r="AA82" s="13">
        <f>748510+94280</f>
        <v>842790</v>
      </c>
      <c r="AB82" s="13"/>
      <c r="AC82" s="13">
        <f t="shared" si="4"/>
        <v>56721576</v>
      </c>
      <c r="AD82" s="13"/>
      <c r="AE82" s="86">
        <f t="shared" si="5"/>
        <v>51349178</v>
      </c>
      <c r="AF82" s="5"/>
      <c r="AG82" s="13">
        <f>1687100+4895909</f>
        <v>6583009</v>
      </c>
      <c r="AH82" s="59"/>
      <c r="AI82" s="13">
        <v>11313101</v>
      </c>
      <c r="AJ82" s="59"/>
      <c r="AK82" s="59">
        <v>0</v>
      </c>
      <c r="AL82" s="59"/>
      <c r="AM82" s="59">
        <f>+'Gov Fd Rv'!Q82+'Gov Fd Rv'!S82-'Gov Fnd Exp'!AC82-AG82+'Gov Fd Rv'!U82+AI82+AK82-'Gov Fd BS'!O83</f>
        <v>0</v>
      </c>
    </row>
    <row r="83" spans="1:39" ht="12.75">
      <c r="A83" s="14" t="s">
        <v>71</v>
      </c>
      <c r="B83" s="14"/>
      <c r="C83" s="13">
        <v>5601769</v>
      </c>
      <c r="D83" s="13"/>
      <c r="E83" s="13">
        <v>2432432</v>
      </c>
      <c r="F83" s="13"/>
      <c r="G83" s="13">
        <v>5800053</v>
      </c>
      <c r="H83" s="13"/>
      <c r="I83" s="13">
        <v>3229429</v>
      </c>
      <c r="J83" s="13"/>
      <c r="K83" s="13">
        <v>7381125</v>
      </c>
      <c r="L83" s="13"/>
      <c r="M83" s="13">
        <v>9761129</v>
      </c>
      <c r="N83" s="13"/>
      <c r="O83" s="13">
        <v>64438</v>
      </c>
      <c r="P83" s="13"/>
      <c r="Q83" s="13">
        <v>383776</v>
      </c>
      <c r="R83" s="13"/>
      <c r="S83" s="13">
        <v>0</v>
      </c>
      <c r="T83" s="13"/>
      <c r="U83" s="13">
        <v>11067866</v>
      </c>
      <c r="V83" s="13"/>
      <c r="W83" s="13">
        <v>0</v>
      </c>
      <c r="X83" s="13"/>
      <c r="Y83" s="13">
        <v>1260314</v>
      </c>
      <c r="Z83" s="13"/>
      <c r="AA83" s="13">
        <v>324016</v>
      </c>
      <c r="AB83" s="13"/>
      <c r="AC83" s="13">
        <f t="shared" si="4"/>
        <v>47306347</v>
      </c>
      <c r="AD83" s="13"/>
      <c r="AE83" s="86">
        <f t="shared" si="5"/>
        <v>34654151</v>
      </c>
      <c r="AF83" s="15"/>
      <c r="AG83" s="13">
        <v>2197975</v>
      </c>
      <c r="AH83" s="16"/>
      <c r="AI83" s="13">
        <v>16671259</v>
      </c>
      <c r="AJ83" s="16"/>
      <c r="AK83" s="16">
        <v>0</v>
      </c>
      <c r="AL83" s="16"/>
      <c r="AM83" s="16">
        <f>+'Gov Fd Rv'!Q83+'Gov Fd Rv'!S83-'Gov Fnd Exp'!AC83-AG83+'Gov Fd Rv'!U83+AI83+AK83-'Gov Fd BS'!O84</f>
        <v>0</v>
      </c>
    </row>
    <row r="84" spans="1:39" ht="12.75">
      <c r="A84" s="14" t="s">
        <v>72</v>
      </c>
      <c r="B84" s="14"/>
      <c r="C84" s="13">
        <v>4355924</v>
      </c>
      <c r="D84" s="13"/>
      <c r="E84" s="13">
        <v>2457752</v>
      </c>
      <c r="F84" s="13"/>
      <c r="G84" s="13">
        <v>4728966</v>
      </c>
      <c r="H84" s="13"/>
      <c r="I84" s="13">
        <v>8597600</v>
      </c>
      <c r="J84" s="13"/>
      <c r="K84" s="13">
        <v>185313</v>
      </c>
      <c r="L84" s="13"/>
      <c r="M84" s="13">
        <v>15228156</v>
      </c>
      <c r="N84" s="13"/>
      <c r="O84" s="13">
        <v>628114</v>
      </c>
      <c r="P84" s="13"/>
      <c r="Q84" s="13">
        <v>0</v>
      </c>
      <c r="R84" s="13"/>
      <c r="S84" s="13">
        <v>0</v>
      </c>
      <c r="T84" s="13"/>
      <c r="U84" s="13">
        <v>183476</v>
      </c>
      <c r="V84" s="13"/>
      <c r="W84" s="13">
        <v>429522</v>
      </c>
      <c r="X84" s="13"/>
      <c r="Y84" s="13">
        <v>419195</v>
      </c>
      <c r="Z84" s="13"/>
      <c r="AA84" s="13">
        <v>92419</v>
      </c>
      <c r="AB84" s="13"/>
      <c r="AC84" s="13">
        <f t="shared" si="4"/>
        <v>37306437</v>
      </c>
      <c r="AD84" s="13"/>
      <c r="AE84" s="86">
        <f t="shared" si="5"/>
        <v>36181825</v>
      </c>
      <c r="AF84" s="15"/>
      <c r="AG84" s="13">
        <v>461102</v>
      </c>
      <c r="AH84" s="16"/>
      <c r="AI84" s="13">
        <v>13932933</v>
      </c>
      <c r="AJ84" s="16"/>
      <c r="AK84" s="16">
        <v>0</v>
      </c>
      <c r="AL84" s="16"/>
      <c r="AM84" s="16">
        <f>+'Gov Fd Rv'!Q84+'Gov Fd Rv'!S84-'Gov Fnd Exp'!AC84-AG84+'Gov Fd Rv'!U84+AI84+AK84-'Gov Fd BS'!O85</f>
        <v>0</v>
      </c>
    </row>
    <row r="85" spans="1:39" ht="12.75">
      <c r="A85" s="14" t="s">
        <v>73</v>
      </c>
      <c r="B85" s="14"/>
      <c r="C85" s="13">
        <v>18807386</v>
      </c>
      <c r="D85" s="13"/>
      <c r="E85" s="13">
        <v>15603021</v>
      </c>
      <c r="F85" s="13"/>
      <c r="G85" s="13">
        <v>25842558</v>
      </c>
      <c r="H85" s="13"/>
      <c r="I85" s="13">
        <v>18288286</v>
      </c>
      <c r="J85" s="13"/>
      <c r="K85" s="13">
        <v>79319272</v>
      </c>
      <c r="L85" s="13"/>
      <c r="M85" s="13">
        <v>68433207</v>
      </c>
      <c r="N85" s="13"/>
      <c r="O85" s="13">
        <v>0</v>
      </c>
      <c r="P85" s="13"/>
      <c r="Q85" s="13">
        <v>0</v>
      </c>
      <c r="R85" s="13"/>
      <c r="S85" s="13">
        <v>639792</v>
      </c>
      <c r="T85" s="13"/>
      <c r="U85" s="13">
        <v>14128155</v>
      </c>
      <c r="V85" s="13"/>
      <c r="W85" s="13">
        <v>11173112</v>
      </c>
      <c r="X85" s="13"/>
      <c r="Y85" s="13">
        <v>604269</v>
      </c>
      <c r="Z85" s="13"/>
      <c r="AA85" s="13">
        <v>285105</v>
      </c>
      <c r="AB85" s="13"/>
      <c r="AC85" s="13">
        <f t="shared" si="4"/>
        <v>253124163</v>
      </c>
      <c r="AD85" s="13"/>
      <c r="AE85" s="86">
        <f t="shared" si="5"/>
        <v>226933522</v>
      </c>
      <c r="AF85" s="15"/>
      <c r="AG85" s="13">
        <v>1179477</v>
      </c>
      <c r="AH85" s="16"/>
      <c r="AI85" s="13">
        <v>75560982</v>
      </c>
      <c r="AJ85" s="16"/>
      <c r="AK85" s="16">
        <v>0</v>
      </c>
      <c r="AL85" s="16"/>
      <c r="AM85" s="16">
        <f>+'Gov Fd Rv'!Q85+'Gov Fd Rv'!S85-'Gov Fnd Exp'!AC85-AG85+'Gov Fd Rv'!U85+AI85+AK85-'Gov Fd BS'!O86</f>
        <v>0</v>
      </c>
    </row>
    <row r="86" spans="1:39" ht="12.75">
      <c r="A86" s="14" t="s">
        <v>74</v>
      </c>
      <c r="B86" s="14"/>
      <c r="C86" s="13">
        <v>91380197</v>
      </c>
      <c r="D86" s="13"/>
      <c r="E86" s="13">
        <v>28372216</v>
      </c>
      <c r="F86" s="13"/>
      <c r="G86" s="13">
        <v>67984881</v>
      </c>
      <c r="H86" s="13"/>
      <c r="I86" s="13">
        <v>28460569</v>
      </c>
      <c r="J86" s="13"/>
      <c r="K86" s="13">
        <v>119978925</v>
      </c>
      <c r="L86" s="13"/>
      <c r="M86" s="13">
        <v>72262652</v>
      </c>
      <c r="N86" s="13"/>
      <c r="O86" s="13">
        <v>2486498</v>
      </c>
      <c r="P86" s="13"/>
      <c r="Q86" s="13">
        <v>5616879</v>
      </c>
      <c r="R86" s="13"/>
      <c r="S86" s="13">
        <v>967716</v>
      </c>
      <c r="T86" s="13"/>
      <c r="U86" s="13">
        <v>3845322</v>
      </c>
      <c r="V86" s="13"/>
      <c r="W86" s="13">
        <v>363314</v>
      </c>
      <c r="X86" s="13"/>
      <c r="Y86" s="13">
        <v>10128090</v>
      </c>
      <c r="Z86" s="13"/>
      <c r="AA86" s="13">
        <v>3624399</v>
      </c>
      <c r="AB86" s="13"/>
      <c r="AC86" s="13">
        <f t="shared" si="4"/>
        <v>435471658</v>
      </c>
      <c r="AD86" s="13"/>
      <c r="AE86" s="86">
        <f t="shared" si="5"/>
        <v>417510533</v>
      </c>
      <c r="AF86" s="15"/>
      <c r="AG86" s="13">
        <v>7894081</v>
      </c>
      <c r="AH86" s="16"/>
      <c r="AI86" s="13">
        <v>163398774</v>
      </c>
      <c r="AJ86" s="16"/>
      <c r="AK86" s="16">
        <v>0</v>
      </c>
      <c r="AL86" s="16"/>
      <c r="AM86" s="16">
        <f>+'Gov Fd Rv'!Q86+'Gov Fd Rv'!S86-'Gov Fnd Exp'!AC86-AG86+'Gov Fd Rv'!U86+AI86+AK86-'Gov Fd BS'!O87</f>
        <v>0</v>
      </c>
    </row>
    <row r="87" spans="1:39" ht="12.75">
      <c r="A87" s="14" t="s">
        <v>75</v>
      </c>
      <c r="B87" s="14"/>
      <c r="C87" s="13">
        <v>20511185</v>
      </c>
      <c r="D87" s="13"/>
      <c r="E87" s="13">
        <v>11247885</v>
      </c>
      <c r="F87" s="13"/>
      <c r="G87" s="13">
        <v>12930697</v>
      </c>
      <c r="H87" s="13"/>
      <c r="I87" s="13">
        <v>12475101</v>
      </c>
      <c r="J87" s="13"/>
      <c r="K87" s="13">
        <v>37918128</v>
      </c>
      <c r="L87" s="13"/>
      <c r="M87" s="13">
        <v>46737610</v>
      </c>
      <c r="N87" s="13"/>
      <c r="O87" s="13">
        <v>721026</v>
      </c>
      <c r="P87" s="13"/>
      <c r="Q87" s="13">
        <v>0</v>
      </c>
      <c r="R87" s="13"/>
      <c r="S87" s="13">
        <v>0</v>
      </c>
      <c r="T87" s="13"/>
      <c r="U87" s="13">
        <v>5193763</v>
      </c>
      <c r="V87" s="13"/>
      <c r="W87" s="13">
        <v>3458949</v>
      </c>
      <c r="X87" s="13"/>
      <c r="Y87" s="13">
        <f>2570072</f>
        <v>2570072</v>
      </c>
      <c r="Z87" s="13"/>
      <c r="AA87" s="13">
        <f>1703262+64371</f>
        <v>1767633</v>
      </c>
      <c r="AB87" s="13"/>
      <c r="AC87" s="13">
        <f t="shared" si="4"/>
        <v>155532049</v>
      </c>
      <c r="AD87" s="13"/>
      <c r="AE87" s="86">
        <f t="shared" si="5"/>
        <v>142541632</v>
      </c>
      <c r="AF87" s="15"/>
      <c r="AG87" s="13">
        <v>13790259</v>
      </c>
      <c r="AH87" s="16"/>
      <c r="AI87" s="13">
        <v>43523618</v>
      </c>
      <c r="AJ87" s="16"/>
      <c r="AK87" s="16"/>
      <c r="AL87" s="16"/>
      <c r="AM87" s="16">
        <f>+'Gov Fd Rv'!Q87+'Gov Fd Rv'!S87-'Gov Fnd Exp'!AC87-AG87+'Gov Fd Rv'!U87+AI87+AK87-'Gov Fd BS'!O88</f>
        <v>0</v>
      </c>
    </row>
    <row r="88" spans="1:39" ht="12.75">
      <c r="A88" s="14" t="s">
        <v>76</v>
      </c>
      <c r="B88" s="14"/>
      <c r="C88" s="13">
        <v>6202468</v>
      </c>
      <c r="D88" s="13"/>
      <c r="E88" s="13">
        <v>4059526</v>
      </c>
      <c r="F88" s="13"/>
      <c r="G88" s="13">
        <v>7285431</v>
      </c>
      <c r="H88" s="13"/>
      <c r="I88" s="13">
        <v>7139061</v>
      </c>
      <c r="J88" s="13"/>
      <c r="K88" s="13">
        <v>6806563</v>
      </c>
      <c r="L88" s="13"/>
      <c r="M88" s="13">
        <v>18901793</v>
      </c>
      <c r="N88" s="13"/>
      <c r="O88" s="13">
        <v>0</v>
      </c>
      <c r="P88" s="13"/>
      <c r="Q88" s="13">
        <v>435448</v>
      </c>
      <c r="R88" s="13"/>
      <c r="S88" s="13">
        <v>0</v>
      </c>
      <c r="T88" s="13"/>
      <c r="U88" s="13">
        <v>3849480</v>
      </c>
      <c r="V88" s="13"/>
      <c r="W88" s="13">
        <v>2250226</v>
      </c>
      <c r="X88" s="13"/>
      <c r="Y88" s="13">
        <v>81573</v>
      </c>
      <c r="Z88" s="13"/>
      <c r="AA88" s="13">
        <v>48860</v>
      </c>
      <c r="AB88" s="13"/>
      <c r="AC88" s="13">
        <f t="shared" si="4"/>
        <v>57060429</v>
      </c>
      <c r="AD88" s="13"/>
      <c r="AE88" s="86">
        <f t="shared" si="5"/>
        <v>50830290</v>
      </c>
      <c r="AF88" s="15"/>
      <c r="AG88" s="13">
        <v>11225545</v>
      </c>
      <c r="AH88" s="16"/>
      <c r="AI88" s="13">
        <v>46594671</v>
      </c>
      <c r="AJ88" s="16"/>
      <c r="AK88" s="16">
        <v>0</v>
      </c>
      <c r="AL88" s="16"/>
      <c r="AM88" s="16">
        <f>+'Gov Fd Rv'!Q88+'Gov Fd Rv'!S88-'Gov Fnd Exp'!AC88-AG88+'Gov Fd Rv'!U88+AI88+AK88-'Gov Fd BS'!O89</f>
        <v>0</v>
      </c>
    </row>
    <row r="89" spans="1:39" s="79" customFormat="1" ht="12.75">
      <c r="A89" s="5" t="s">
        <v>77</v>
      </c>
      <c r="B89" s="5"/>
      <c r="C89" s="13">
        <v>12236331</v>
      </c>
      <c r="D89" s="13"/>
      <c r="E89" s="13">
        <v>1989364</v>
      </c>
      <c r="F89" s="13"/>
      <c r="G89" s="13">
        <v>6386829</v>
      </c>
      <c r="H89" s="13"/>
      <c r="I89" s="13">
        <v>6979286</v>
      </c>
      <c r="J89" s="13"/>
      <c r="K89" s="13">
        <v>3896255</v>
      </c>
      <c r="L89" s="13"/>
      <c r="M89" s="13">
        <v>14265234</v>
      </c>
      <c r="N89" s="13"/>
      <c r="O89" s="13">
        <v>305905</v>
      </c>
      <c r="P89" s="13"/>
      <c r="Q89" s="13">
        <v>0</v>
      </c>
      <c r="R89" s="13"/>
      <c r="S89" s="13">
        <v>667141</v>
      </c>
      <c r="T89" s="13"/>
      <c r="U89" s="13">
        <v>45914</v>
      </c>
      <c r="V89" s="13"/>
      <c r="W89" s="13">
        <v>0</v>
      </c>
      <c r="X89" s="13"/>
      <c r="Y89" s="13">
        <v>611771</v>
      </c>
      <c r="Z89" s="13"/>
      <c r="AA89" s="13">
        <v>382123</v>
      </c>
      <c r="AB89" s="13"/>
      <c r="AC89" s="13">
        <f t="shared" si="4"/>
        <v>47766153</v>
      </c>
      <c r="AD89" s="13"/>
      <c r="AE89" s="86">
        <f t="shared" si="5"/>
        <v>46726345</v>
      </c>
      <c r="AF89" s="5"/>
      <c r="AG89" s="13">
        <v>931130</v>
      </c>
      <c r="AH89" s="59"/>
      <c r="AI89" s="13">
        <v>17605419</v>
      </c>
      <c r="AJ89" s="59"/>
      <c r="AK89" s="59">
        <v>-37084</v>
      </c>
      <c r="AL89" s="59"/>
      <c r="AM89" s="59">
        <f>+'Gov Fd Rv'!Q89+'Gov Fd Rv'!S89-'Gov Fnd Exp'!AC89-AG89+'Gov Fd Rv'!U89+AI89+AK89-'Gov Fd BS'!O90</f>
        <v>0</v>
      </c>
    </row>
    <row r="90" spans="1:39" ht="12.75">
      <c r="A90" s="14" t="s">
        <v>78</v>
      </c>
      <c r="B90" s="14"/>
      <c r="C90" s="13">
        <v>4357443</v>
      </c>
      <c r="D90" s="13"/>
      <c r="E90" s="13">
        <v>1424026</v>
      </c>
      <c r="F90" s="13"/>
      <c r="G90" s="13">
        <v>3033089</v>
      </c>
      <c r="H90" s="13"/>
      <c r="I90" s="13">
        <v>3554282</v>
      </c>
      <c r="J90" s="13"/>
      <c r="K90" s="13">
        <v>93574</v>
      </c>
      <c r="L90" s="13"/>
      <c r="M90" s="13">
        <v>8545317</v>
      </c>
      <c r="N90" s="13"/>
      <c r="O90" s="13">
        <v>0</v>
      </c>
      <c r="P90" s="13"/>
      <c r="Q90" s="13">
        <v>828371</v>
      </c>
      <c r="R90" s="13"/>
      <c r="S90" s="13">
        <v>0</v>
      </c>
      <c r="T90" s="13"/>
      <c r="U90" s="13">
        <v>671442</v>
      </c>
      <c r="V90" s="13"/>
      <c r="W90" s="13">
        <v>312686</v>
      </c>
      <c r="X90" s="13"/>
      <c r="Y90" s="13">
        <v>392037</v>
      </c>
      <c r="Z90" s="13"/>
      <c r="AA90" s="13">
        <v>142747</v>
      </c>
      <c r="AB90" s="13"/>
      <c r="AC90" s="13">
        <f t="shared" si="4"/>
        <v>23355014</v>
      </c>
      <c r="AD90" s="13"/>
      <c r="AE90" s="86">
        <f t="shared" si="5"/>
        <v>21836102</v>
      </c>
      <c r="AF90" s="15"/>
      <c r="AG90" s="13">
        <v>265888</v>
      </c>
      <c r="AH90" s="16"/>
      <c r="AI90" s="13">
        <v>2207787</v>
      </c>
      <c r="AJ90" s="16"/>
      <c r="AK90" s="16">
        <v>0</v>
      </c>
      <c r="AL90" s="16"/>
      <c r="AM90" s="16">
        <f>+'Gov Fd Rv'!Q90+'Gov Fd Rv'!S90-'Gov Fnd Exp'!AC90-AG90+'Gov Fd Rv'!U90+AI90+AK90-'Gov Fd BS'!O91</f>
        <v>0</v>
      </c>
    </row>
    <row r="91" spans="1:39" ht="12.75">
      <c r="A91" s="14" t="s">
        <v>79</v>
      </c>
      <c r="B91" s="14"/>
      <c r="C91" s="13">
        <v>1282288</v>
      </c>
      <c r="D91" s="13"/>
      <c r="E91" s="13">
        <v>526980</v>
      </c>
      <c r="F91" s="13"/>
      <c r="G91" s="13">
        <v>1624123</v>
      </c>
      <c r="H91" s="13"/>
      <c r="I91" s="13">
        <v>5005164</v>
      </c>
      <c r="J91" s="13"/>
      <c r="K91" s="13">
        <v>1470214</v>
      </c>
      <c r="L91" s="13"/>
      <c r="M91" s="13">
        <v>4096937</v>
      </c>
      <c r="N91" s="13"/>
      <c r="O91" s="13">
        <v>0</v>
      </c>
      <c r="P91" s="13"/>
      <c r="Q91" s="13">
        <v>10600</v>
      </c>
      <c r="R91" s="13"/>
      <c r="S91" s="13">
        <v>664746</v>
      </c>
      <c r="T91" s="13"/>
      <c r="U91" s="13">
        <v>298438</v>
      </c>
      <c r="V91" s="13"/>
      <c r="W91" s="13">
        <v>0</v>
      </c>
      <c r="X91" s="13"/>
      <c r="Y91" s="13">
        <v>67305</v>
      </c>
      <c r="Z91" s="13"/>
      <c r="AA91" s="13">
        <v>23839</v>
      </c>
      <c r="AB91" s="13"/>
      <c r="AC91" s="13">
        <f t="shared" si="4"/>
        <v>15070634</v>
      </c>
      <c r="AD91" s="13"/>
      <c r="AE91" s="86">
        <f t="shared" si="5"/>
        <v>14681052</v>
      </c>
      <c r="AF91" s="15"/>
      <c r="AG91" s="13">
        <v>166588</v>
      </c>
      <c r="AH91" s="16"/>
      <c r="AI91" s="13">
        <v>3992898</v>
      </c>
      <c r="AJ91" s="16"/>
      <c r="AK91" s="16">
        <v>0</v>
      </c>
      <c r="AL91" s="16"/>
      <c r="AM91" s="16">
        <f>+'Gov Fd Rv'!Q91+'Gov Fd Rv'!S91-'Gov Fnd Exp'!AC91-AG91+'Gov Fd Rv'!U91+AI91+AK91-'Gov Fd BS'!O92</f>
        <v>0</v>
      </c>
    </row>
    <row r="92" spans="1:39" ht="12.75">
      <c r="A92" s="14" t="s">
        <v>80</v>
      </c>
      <c r="B92" s="14"/>
      <c r="C92" s="13">
        <v>22531354</v>
      </c>
      <c r="D92" s="13"/>
      <c r="E92" s="13">
        <v>10347193</v>
      </c>
      <c r="F92" s="13"/>
      <c r="G92" s="13">
        <v>22196942</v>
      </c>
      <c r="H92" s="13"/>
      <c r="I92" s="13">
        <v>7524824</v>
      </c>
      <c r="J92" s="13"/>
      <c r="K92" s="13">
        <v>635359</v>
      </c>
      <c r="L92" s="13"/>
      <c r="M92" s="13">
        <v>37507664</v>
      </c>
      <c r="N92" s="13"/>
      <c r="O92" s="13">
        <v>1256362</v>
      </c>
      <c r="P92" s="13"/>
      <c r="Q92" s="13">
        <v>0</v>
      </c>
      <c r="R92" s="13"/>
      <c r="S92" s="13">
        <v>0</v>
      </c>
      <c r="T92" s="13"/>
      <c r="U92" s="13">
        <v>5852857</v>
      </c>
      <c r="V92" s="13"/>
      <c r="W92" s="13">
        <v>0</v>
      </c>
      <c r="X92" s="13"/>
      <c r="Y92" s="13">
        <v>1593337</v>
      </c>
      <c r="Z92" s="13"/>
      <c r="AA92" s="13">
        <v>1055048</v>
      </c>
      <c r="AB92" s="13"/>
      <c r="AC92" s="13">
        <f t="shared" si="4"/>
        <v>110500940</v>
      </c>
      <c r="AD92" s="13"/>
      <c r="AE92" s="86">
        <f t="shared" si="5"/>
        <v>101999698</v>
      </c>
      <c r="AF92" s="15"/>
      <c r="AG92" s="13">
        <v>9462923</v>
      </c>
      <c r="AH92" s="16"/>
      <c r="AI92" s="13">
        <v>83296038</v>
      </c>
      <c r="AJ92" s="16"/>
      <c r="AK92" s="16">
        <v>-30242</v>
      </c>
      <c r="AL92" s="16"/>
      <c r="AM92" s="16">
        <f>+'Gov Fd Rv'!Q92+'Gov Fd Rv'!S92-'Gov Fnd Exp'!AC92-AG92+'Gov Fd Rv'!U92+AI92+AK92-'Gov Fd BS'!O93</f>
        <v>0</v>
      </c>
    </row>
    <row r="93" spans="1:39" ht="12.75">
      <c r="A93" s="14" t="s">
        <v>81</v>
      </c>
      <c r="B93" s="14"/>
      <c r="C93" s="13">
        <v>4899745</v>
      </c>
      <c r="D93" s="13"/>
      <c r="E93" s="13">
        <v>1842776</v>
      </c>
      <c r="F93" s="13"/>
      <c r="G93" s="13">
        <v>7124490</v>
      </c>
      <c r="H93" s="13"/>
      <c r="I93" s="13">
        <v>8556056</v>
      </c>
      <c r="J93" s="13"/>
      <c r="K93" s="13">
        <f>5457045+6408124+2237991+195663</f>
        <v>14298823</v>
      </c>
      <c r="L93" s="13"/>
      <c r="M93" s="13">
        <f>910148+2626553+7048304+1668405</f>
        <v>12253410</v>
      </c>
      <c r="N93" s="13"/>
      <c r="O93" s="13">
        <v>543730</v>
      </c>
      <c r="P93" s="13"/>
      <c r="Q93" s="13">
        <v>0</v>
      </c>
      <c r="R93" s="13"/>
      <c r="S93" s="13">
        <v>0</v>
      </c>
      <c r="T93" s="13"/>
      <c r="U93" s="13">
        <v>0</v>
      </c>
      <c r="V93" s="13"/>
      <c r="W93" s="13">
        <v>1643489</v>
      </c>
      <c r="X93" s="13"/>
      <c r="Y93" s="13">
        <f>479088</f>
        <v>479088</v>
      </c>
      <c r="Z93" s="13"/>
      <c r="AA93" s="13">
        <f>274843+28323+4400</f>
        <v>307566</v>
      </c>
      <c r="AB93" s="13"/>
      <c r="AC93" s="13">
        <f t="shared" si="4"/>
        <v>51949173</v>
      </c>
      <c r="AD93" s="13"/>
      <c r="AE93" s="86">
        <f t="shared" si="5"/>
        <v>49519030</v>
      </c>
      <c r="AF93" s="15"/>
      <c r="AG93" s="13">
        <f>636100+1936130</f>
        <v>2572230</v>
      </c>
      <c r="AH93" s="16"/>
      <c r="AI93" s="13">
        <v>19193694</v>
      </c>
      <c r="AJ93" s="16"/>
      <c r="AK93" s="16">
        <v>0</v>
      </c>
      <c r="AL93" s="16"/>
      <c r="AM93" s="16">
        <f>+'Gov Fd Rv'!Q93+'Gov Fd Rv'!S93-'Gov Fnd Exp'!AC93-AG93+'Gov Fd Rv'!U93+AI93+AK93-'Gov Fd BS'!O94</f>
        <v>0</v>
      </c>
    </row>
    <row r="94" spans="1:39" ht="12.75">
      <c r="A94" s="14" t="s">
        <v>82</v>
      </c>
      <c r="B94" s="14"/>
      <c r="C94" s="13">
        <v>9514279</v>
      </c>
      <c r="D94" s="13"/>
      <c r="E94" s="13">
        <v>4633515</v>
      </c>
      <c r="F94" s="13"/>
      <c r="G94" s="13">
        <v>10183328</v>
      </c>
      <c r="H94" s="13"/>
      <c r="I94" s="13">
        <v>6589224</v>
      </c>
      <c r="J94" s="13"/>
      <c r="K94" s="13">
        <v>545494</v>
      </c>
      <c r="L94" s="13"/>
      <c r="M94" s="13">
        <v>35073309</v>
      </c>
      <c r="N94" s="13"/>
      <c r="O94" s="13">
        <f>600317+385539</f>
        <v>985856</v>
      </c>
      <c r="P94" s="13"/>
      <c r="Q94" s="13">
        <v>88662</v>
      </c>
      <c r="R94" s="13"/>
      <c r="S94" s="13">
        <v>855176</v>
      </c>
      <c r="T94" s="13"/>
      <c r="U94" s="13">
        <v>4600920</v>
      </c>
      <c r="V94" s="13"/>
      <c r="W94" s="13">
        <v>0</v>
      </c>
      <c r="X94" s="13"/>
      <c r="Y94" s="13">
        <v>573500</v>
      </c>
      <c r="Z94" s="13"/>
      <c r="AA94" s="13">
        <v>507429</v>
      </c>
      <c r="AB94" s="13"/>
      <c r="AC94" s="13">
        <f t="shared" si="4"/>
        <v>74150692</v>
      </c>
      <c r="AD94" s="13"/>
      <c r="AE94" s="86">
        <f t="shared" si="5"/>
        <v>68468843</v>
      </c>
      <c r="AF94" s="15"/>
      <c r="AG94" s="13">
        <v>2234100</v>
      </c>
      <c r="AH94" s="16"/>
      <c r="AI94" s="13">
        <v>34846195</v>
      </c>
      <c r="AJ94" s="16"/>
      <c r="AK94" s="16">
        <v>-3521</v>
      </c>
      <c r="AL94" s="16"/>
      <c r="AM94" s="16">
        <f>+'Gov Fd Rv'!Q94+'Gov Fd Rv'!S94-'Gov Fnd Exp'!AC94-AG94+'Gov Fd Rv'!U94+AI94+AK94-'Gov Fd BS'!O95</f>
        <v>0</v>
      </c>
    </row>
    <row r="95" spans="1:39" ht="12.75" hidden="1">
      <c r="A95" s="14" t="s">
        <v>174</v>
      </c>
      <c r="B95" s="14"/>
      <c r="C95" s="13">
        <v>0</v>
      </c>
      <c r="D95" s="13"/>
      <c r="E95" s="13">
        <v>0</v>
      </c>
      <c r="F95" s="13"/>
      <c r="G95" s="13">
        <v>0</v>
      </c>
      <c r="H95" s="13"/>
      <c r="I95" s="13">
        <v>0</v>
      </c>
      <c r="J95" s="13"/>
      <c r="K95" s="13">
        <v>0</v>
      </c>
      <c r="L95" s="13"/>
      <c r="M95" s="13">
        <v>0</v>
      </c>
      <c r="N95" s="13"/>
      <c r="O95" s="13">
        <v>0</v>
      </c>
      <c r="P95" s="13"/>
      <c r="Q95" s="13">
        <v>0</v>
      </c>
      <c r="R95" s="13"/>
      <c r="S95" s="13">
        <v>0</v>
      </c>
      <c r="T95" s="13"/>
      <c r="U95" s="13">
        <v>0</v>
      </c>
      <c r="V95" s="13"/>
      <c r="W95" s="13">
        <v>0</v>
      </c>
      <c r="X95" s="13"/>
      <c r="Y95" s="13">
        <v>0</v>
      </c>
      <c r="Z95" s="13"/>
      <c r="AA95" s="13">
        <v>0</v>
      </c>
      <c r="AB95" s="13"/>
      <c r="AC95" s="13">
        <f t="shared" si="4"/>
        <v>0</v>
      </c>
      <c r="AD95" s="13"/>
      <c r="AE95" s="86">
        <f t="shared" si="5"/>
        <v>0</v>
      </c>
      <c r="AF95" s="15"/>
      <c r="AG95" s="13">
        <v>0</v>
      </c>
      <c r="AH95" s="16"/>
      <c r="AI95" s="13">
        <v>0</v>
      </c>
      <c r="AJ95" s="16"/>
      <c r="AK95" s="16">
        <v>0</v>
      </c>
      <c r="AL95" s="16"/>
      <c r="AM95" s="16">
        <f>+'Gov Fd Rv'!Q95+'Gov Fd Rv'!S95-'Gov Fnd Exp'!AC95-AG95+'Gov Fd Rv'!U95+AI95+AK95-'Gov Fd BS'!O96</f>
        <v>0</v>
      </c>
    </row>
    <row r="96" spans="1:39" ht="12.75">
      <c r="A96" s="14" t="s">
        <v>83</v>
      </c>
      <c r="B96" s="14"/>
      <c r="C96" s="13">
        <v>16527375</v>
      </c>
      <c r="D96" s="13"/>
      <c r="E96" s="13">
        <v>7556736</v>
      </c>
      <c r="F96" s="13"/>
      <c r="G96" s="13">
        <v>7451992</v>
      </c>
      <c r="H96" s="13"/>
      <c r="I96" s="13">
        <v>9045799</v>
      </c>
      <c r="J96" s="13"/>
      <c r="K96" s="13">
        <v>13854531</v>
      </c>
      <c r="L96" s="13"/>
      <c r="M96" s="13">
        <v>38686475</v>
      </c>
      <c r="N96" s="13"/>
      <c r="O96" s="13">
        <v>1296278</v>
      </c>
      <c r="P96" s="13"/>
      <c r="Q96" s="13">
        <v>265961</v>
      </c>
      <c r="R96" s="13"/>
      <c r="S96" s="13">
        <v>400652</v>
      </c>
      <c r="T96" s="13"/>
      <c r="U96" s="13">
        <v>4170963</v>
      </c>
      <c r="V96" s="13"/>
      <c r="W96" s="13">
        <v>309530</v>
      </c>
      <c r="X96" s="13"/>
      <c r="Y96" s="13">
        <v>1806694</v>
      </c>
      <c r="Z96" s="13"/>
      <c r="AA96" s="13">
        <v>606564</v>
      </c>
      <c r="AB96" s="13"/>
      <c r="AC96" s="13">
        <f t="shared" si="4"/>
        <v>101979550</v>
      </c>
      <c r="AD96" s="13"/>
      <c r="AE96" s="86">
        <f t="shared" si="5"/>
        <v>95085799</v>
      </c>
      <c r="AF96" s="15"/>
      <c r="AG96" s="13">
        <v>4239676</v>
      </c>
      <c r="AH96" s="16"/>
      <c r="AI96" s="13">
        <v>57719048</v>
      </c>
      <c r="AJ96" s="16"/>
      <c r="AK96" s="16">
        <v>0</v>
      </c>
      <c r="AL96" s="16"/>
      <c r="AM96" s="16">
        <f>+'Gov Fd Rv'!Q96+'Gov Fd Rv'!S96-'Gov Fnd Exp'!AC96-AG96+'Gov Fd Rv'!U96+AI96+AK96-'Gov Fd BS'!O97</f>
        <v>0</v>
      </c>
    </row>
    <row r="97" spans="1:39" ht="12.75" hidden="1">
      <c r="A97" s="14" t="s">
        <v>175</v>
      </c>
      <c r="B97" s="14"/>
      <c r="C97" s="21">
        <v>0</v>
      </c>
      <c r="D97" s="21"/>
      <c r="E97" s="13">
        <v>0</v>
      </c>
      <c r="F97" s="13"/>
      <c r="G97" s="13">
        <v>0</v>
      </c>
      <c r="H97" s="13"/>
      <c r="I97" s="13">
        <v>0</v>
      </c>
      <c r="J97" s="13"/>
      <c r="K97" s="13">
        <v>0</v>
      </c>
      <c r="L97" s="13"/>
      <c r="M97" s="13">
        <v>0</v>
      </c>
      <c r="N97" s="13"/>
      <c r="O97" s="13">
        <v>0</v>
      </c>
      <c r="P97" s="13"/>
      <c r="Q97" s="13">
        <v>0</v>
      </c>
      <c r="R97" s="13"/>
      <c r="S97" s="13">
        <v>0</v>
      </c>
      <c r="T97" s="13"/>
      <c r="U97" s="13">
        <v>0</v>
      </c>
      <c r="V97" s="13"/>
      <c r="W97" s="13">
        <v>0</v>
      </c>
      <c r="X97" s="13"/>
      <c r="Y97" s="13">
        <v>0</v>
      </c>
      <c r="Z97" s="13"/>
      <c r="AA97" s="13">
        <v>0</v>
      </c>
      <c r="AB97" s="13"/>
      <c r="AC97" s="13">
        <f t="shared" si="4"/>
        <v>0</v>
      </c>
      <c r="AD97" s="13"/>
      <c r="AE97" s="86">
        <f t="shared" si="5"/>
        <v>0</v>
      </c>
      <c r="AF97" s="5"/>
      <c r="AG97" s="13">
        <v>0</v>
      </c>
      <c r="AH97" s="16"/>
      <c r="AI97" s="13">
        <v>0</v>
      </c>
      <c r="AJ97" s="16"/>
      <c r="AK97" s="16">
        <v>0</v>
      </c>
      <c r="AL97" s="16"/>
      <c r="AM97" s="16">
        <f>+'Gov Fd Rv'!Q97+'Gov Fd Rv'!S97-'Gov Fnd Exp'!AC97-AG97+'Gov Fd Rv'!U97+AI97+AK97-'Gov Fd BS'!O98</f>
        <v>-14729054</v>
      </c>
    </row>
    <row r="98" spans="1:39" ht="12.75">
      <c r="A98" s="14"/>
      <c r="B98" s="1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49"/>
      <c r="AH98" s="16"/>
      <c r="AI98" s="16"/>
      <c r="AJ98" s="16"/>
      <c r="AK98" s="16"/>
      <c r="AL98" s="16"/>
      <c r="AM98" s="16"/>
    </row>
    <row r="99" spans="1:39" ht="12.75">
      <c r="A99" s="14"/>
      <c r="B99" s="1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49"/>
      <c r="AH99" s="16"/>
      <c r="AI99" s="16"/>
      <c r="AJ99" s="16"/>
      <c r="AK99" s="16"/>
      <c r="AL99" s="16"/>
      <c r="AM99" s="16"/>
    </row>
    <row r="100" spans="3:39" ht="12.75"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>
        <f>SUM(AC9:AC96)</f>
        <v>8419787246</v>
      </c>
      <c r="AD100" s="59"/>
      <c r="AE100" s="59"/>
      <c r="AF100" s="79"/>
      <c r="AG100" s="49"/>
      <c r="AH100" s="16"/>
      <c r="AI100" s="16"/>
      <c r="AJ100" s="16"/>
      <c r="AK100" s="16"/>
      <c r="AL100" s="16"/>
      <c r="AM100" s="16"/>
    </row>
    <row r="101" spans="3:39" ht="12.75"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79"/>
      <c r="AG101" s="49"/>
      <c r="AH101" s="16"/>
      <c r="AI101" s="16"/>
      <c r="AJ101" s="16"/>
      <c r="AK101" s="16"/>
      <c r="AL101" s="16"/>
      <c r="AM101" s="16"/>
    </row>
    <row r="102" spans="3:39" ht="12.75"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79"/>
      <c r="AG102" s="49"/>
      <c r="AH102" s="16"/>
      <c r="AI102" s="16"/>
      <c r="AJ102" s="16"/>
      <c r="AK102" s="16"/>
      <c r="AL102" s="16"/>
      <c r="AM102" s="16"/>
    </row>
    <row r="103" spans="33:39" ht="12.75">
      <c r="AG103" s="49"/>
      <c r="AH103" s="16"/>
      <c r="AI103" s="16"/>
      <c r="AJ103" s="16"/>
      <c r="AK103" s="16"/>
      <c r="AL103" s="16"/>
      <c r="AM103" s="16"/>
    </row>
    <row r="104" spans="33:39" ht="12.75">
      <c r="AG104" s="49"/>
      <c r="AH104" s="16"/>
      <c r="AI104" s="16"/>
      <c r="AJ104" s="16"/>
      <c r="AK104" s="16"/>
      <c r="AL104" s="16"/>
      <c r="AM104" s="16"/>
    </row>
    <row r="105" spans="33:39" ht="12.75">
      <c r="AG105" s="16"/>
      <c r="AH105" s="16"/>
      <c r="AI105" s="16"/>
      <c r="AJ105" s="16"/>
      <c r="AK105" s="16"/>
      <c r="AL105" s="16"/>
      <c r="AM105" s="16"/>
    </row>
    <row r="106" spans="33:39" ht="12.75">
      <c r="AG106" s="16"/>
      <c r="AH106" s="16"/>
      <c r="AI106" s="16"/>
      <c r="AJ106" s="16"/>
      <c r="AK106" s="16"/>
      <c r="AL106" s="16"/>
      <c r="AM106" s="16"/>
    </row>
    <row r="107" spans="33:39" ht="12.75">
      <c r="AG107" s="16"/>
      <c r="AH107" s="16"/>
      <c r="AI107" s="16"/>
      <c r="AJ107" s="16"/>
      <c r="AK107" s="16"/>
      <c r="AL107" s="16"/>
      <c r="AM107" s="16"/>
    </row>
    <row r="108" spans="33:39" ht="12.75">
      <c r="AG108" s="16"/>
      <c r="AH108" s="16"/>
      <c r="AI108" s="16"/>
      <c r="AJ108" s="16"/>
      <c r="AK108" s="16"/>
      <c r="AL108" s="16"/>
      <c r="AM108" s="16"/>
    </row>
    <row r="109" spans="33:39" ht="12.75">
      <c r="AG109" s="16"/>
      <c r="AH109" s="16"/>
      <c r="AI109" s="16"/>
      <c r="AJ109" s="16"/>
      <c r="AK109" s="16"/>
      <c r="AL109" s="16"/>
      <c r="AM109" s="16"/>
    </row>
    <row r="110" spans="33:39" ht="12.75">
      <c r="AG110" s="16"/>
      <c r="AH110" s="16"/>
      <c r="AI110" s="16"/>
      <c r="AJ110" s="16"/>
      <c r="AK110" s="16"/>
      <c r="AL110" s="16"/>
      <c r="AM110" s="16"/>
    </row>
    <row r="111" spans="33:39" ht="12.75">
      <c r="AG111" s="16"/>
      <c r="AH111" s="16"/>
      <c r="AI111" s="16"/>
      <c r="AJ111" s="16"/>
      <c r="AK111" s="16"/>
      <c r="AL111" s="16"/>
      <c r="AM111" s="16"/>
    </row>
    <row r="112" spans="33:39" ht="12.75">
      <c r="AG112" s="16"/>
      <c r="AH112" s="16"/>
      <c r="AI112" s="16"/>
      <c r="AJ112" s="16"/>
      <c r="AK112" s="16"/>
      <c r="AL112" s="16"/>
      <c r="AM112" s="16"/>
    </row>
    <row r="113" spans="33:39" ht="12.75">
      <c r="AG113" s="16"/>
      <c r="AH113" s="16"/>
      <c r="AI113" s="16"/>
      <c r="AJ113" s="16"/>
      <c r="AK113" s="16"/>
      <c r="AL113" s="16"/>
      <c r="AM113" s="16"/>
    </row>
    <row r="114" spans="33:39" ht="12.75">
      <c r="AG114" s="16"/>
      <c r="AH114" s="16"/>
      <c r="AI114" s="16"/>
      <c r="AJ114" s="16"/>
      <c r="AK114" s="16"/>
      <c r="AL114" s="16"/>
      <c r="AM114" s="16"/>
    </row>
    <row r="115" spans="33:39" ht="12.75">
      <c r="AG115" s="16"/>
      <c r="AH115" s="16"/>
      <c r="AI115" s="16"/>
      <c r="AJ115" s="16"/>
      <c r="AK115" s="16"/>
      <c r="AL115" s="16"/>
      <c r="AM115" s="16"/>
    </row>
    <row r="116" spans="33:39" ht="12.75">
      <c r="AG116" s="16"/>
      <c r="AH116" s="16"/>
      <c r="AI116" s="16"/>
      <c r="AJ116" s="16"/>
      <c r="AK116" s="16"/>
      <c r="AL116" s="16"/>
      <c r="AM116" s="16"/>
    </row>
    <row r="117" spans="33:39" ht="12.75">
      <c r="AG117" s="16"/>
      <c r="AH117" s="16"/>
      <c r="AI117" s="16"/>
      <c r="AJ117" s="16"/>
      <c r="AK117" s="16"/>
      <c r="AL117" s="16"/>
      <c r="AM117" s="16"/>
    </row>
    <row r="118" spans="33:39" ht="12.75">
      <c r="AG118" s="16"/>
      <c r="AH118" s="16"/>
      <c r="AI118" s="16"/>
      <c r="AJ118" s="16"/>
      <c r="AK118" s="16"/>
      <c r="AL118" s="16"/>
      <c r="AM118" s="16"/>
    </row>
    <row r="119" spans="33:39" ht="12.75">
      <c r="AG119" s="16"/>
      <c r="AH119" s="16"/>
      <c r="AI119" s="16"/>
      <c r="AJ119" s="16"/>
      <c r="AK119" s="16"/>
      <c r="AL119" s="16"/>
      <c r="AM119" s="16"/>
    </row>
    <row r="120" spans="33:39" ht="12.75">
      <c r="AG120" s="16"/>
      <c r="AH120" s="16"/>
      <c r="AI120" s="16"/>
      <c r="AJ120" s="16"/>
      <c r="AK120" s="16"/>
      <c r="AL120" s="16"/>
      <c r="AM120" s="16"/>
    </row>
    <row r="121" spans="33:39" ht="12.75">
      <c r="AG121" s="16"/>
      <c r="AH121" s="16"/>
      <c r="AI121" s="16"/>
      <c r="AJ121" s="16"/>
      <c r="AK121" s="16"/>
      <c r="AL121" s="16"/>
      <c r="AM121" s="16"/>
    </row>
    <row r="122" spans="33:39" ht="12.75">
      <c r="AG122" s="16"/>
      <c r="AH122" s="16"/>
      <c r="AI122" s="16"/>
      <c r="AJ122" s="16"/>
      <c r="AK122" s="16"/>
      <c r="AL122" s="16"/>
      <c r="AM122" s="16"/>
    </row>
    <row r="123" spans="33:39" ht="12.75">
      <c r="AG123" s="16"/>
      <c r="AH123" s="16"/>
      <c r="AI123" s="16"/>
      <c r="AJ123" s="16"/>
      <c r="AK123" s="16"/>
      <c r="AL123" s="16"/>
      <c r="AM123" s="16"/>
    </row>
    <row r="124" spans="33:39" ht="12.75">
      <c r="AG124" s="16"/>
      <c r="AH124" s="16"/>
      <c r="AI124" s="16"/>
      <c r="AJ124" s="16"/>
      <c r="AK124" s="16"/>
      <c r="AL124" s="16"/>
      <c r="AM124" s="16"/>
    </row>
    <row r="125" spans="33:39" ht="12.75">
      <c r="AG125" s="16"/>
      <c r="AH125" s="16"/>
      <c r="AI125" s="16"/>
      <c r="AJ125" s="16"/>
      <c r="AK125" s="16"/>
      <c r="AL125" s="16"/>
      <c r="AM125" s="16"/>
    </row>
    <row r="126" spans="33:39" ht="12.75">
      <c r="AG126" s="16"/>
      <c r="AH126" s="16"/>
      <c r="AI126" s="16"/>
      <c r="AJ126" s="16"/>
      <c r="AK126" s="16"/>
      <c r="AL126" s="16"/>
      <c r="AM126" s="16"/>
    </row>
    <row r="127" spans="33:39" ht="12.75">
      <c r="AG127" s="16"/>
      <c r="AH127" s="16"/>
      <c r="AI127" s="16"/>
      <c r="AJ127" s="16"/>
      <c r="AK127" s="16"/>
      <c r="AL127" s="16"/>
      <c r="AM127" s="16"/>
    </row>
    <row r="128" spans="33:39" ht="12.75">
      <c r="AG128" s="16"/>
      <c r="AH128" s="16"/>
      <c r="AI128" s="16"/>
      <c r="AJ128" s="16"/>
      <c r="AK128" s="16"/>
      <c r="AL128" s="16"/>
      <c r="AM128" s="16"/>
    </row>
    <row r="129" spans="33:39" ht="12.75">
      <c r="AG129" s="16"/>
      <c r="AH129" s="16"/>
      <c r="AI129" s="16"/>
      <c r="AJ129" s="16"/>
      <c r="AK129" s="16"/>
      <c r="AL129" s="16"/>
      <c r="AM129" s="16"/>
    </row>
    <row r="130" spans="33:39" ht="12.75">
      <c r="AG130" s="16"/>
      <c r="AH130" s="16"/>
      <c r="AI130" s="16"/>
      <c r="AJ130" s="16"/>
      <c r="AK130" s="16"/>
      <c r="AL130" s="16"/>
      <c r="AM130" s="16"/>
    </row>
    <row r="131" spans="33:39" ht="12.75">
      <c r="AG131" s="16"/>
      <c r="AH131" s="16"/>
      <c r="AI131" s="16"/>
      <c r="AJ131" s="16"/>
      <c r="AK131" s="16"/>
      <c r="AL131" s="16"/>
      <c r="AM131" s="16"/>
    </row>
    <row r="132" spans="33:39" ht="12.75">
      <c r="AG132" s="16"/>
      <c r="AH132" s="16"/>
      <c r="AI132" s="16"/>
      <c r="AJ132" s="16"/>
      <c r="AK132" s="16"/>
      <c r="AL132" s="16"/>
      <c r="AM132" s="16"/>
    </row>
    <row r="133" spans="33:39" ht="12.75">
      <c r="AG133" s="16"/>
      <c r="AH133" s="16"/>
      <c r="AI133" s="16"/>
      <c r="AJ133" s="16"/>
      <c r="AK133" s="16"/>
      <c r="AL133" s="16"/>
      <c r="AM133" s="16"/>
    </row>
    <row r="134" spans="33:39" ht="12.75">
      <c r="AG134" s="16"/>
      <c r="AH134" s="16"/>
      <c r="AI134" s="16"/>
      <c r="AJ134" s="16"/>
      <c r="AK134" s="16"/>
      <c r="AL134" s="16"/>
      <c r="AM134" s="16"/>
    </row>
    <row r="135" spans="33:39" ht="12.75">
      <c r="AG135" s="16"/>
      <c r="AH135" s="16"/>
      <c r="AI135" s="16"/>
      <c r="AJ135" s="16"/>
      <c r="AK135" s="16"/>
      <c r="AL135" s="16"/>
      <c r="AM135" s="16"/>
    </row>
    <row r="136" spans="33:39" ht="12.75">
      <c r="AG136" s="16"/>
      <c r="AH136" s="16"/>
      <c r="AI136" s="16"/>
      <c r="AJ136" s="16"/>
      <c r="AK136" s="16"/>
      <c r="AL136" s="16"/>
      <c r="AM136" s="16"/>
    </row>
    <row r="137" spans="33:39" ht="12.75">
      <c r="AG137" s="16"/>
      <c r="AH137" s="16"/>
      <c r="AI137" s="16"/>
      <c r="AJ137" s="16"/>
      <c r="AK137" s="16"/>
      <c r="AL137" s="16"/>
      <c r="AM137" s="16"/>
    </row>
    <row r="138" spans="33:39" ht="12.75">
      <c r="AG138" s="16"/>
      <c r="AH138" s="16"/>
      <c r="AI138" s="16"/>
      <c r="AJ138" s="16"/>
      <c r="AK138" s="16"/>
      <c r="AL138" s="16"/>
      <c r="AM138" s="16"/>
    </row>
    <row r="139" spans="33:39" ht="12.75">
      <c r="AG139" s="16"/>
      <c r="AH139" s="16"/>
      <c r="AI139" s="16"/>
      <c r="AJ139" s="16"/>
      <c r="AK139" s="16"/>
      <c r="AL139" s="16"/>
      <c r="AM139" s="16"/>
    </row>
    <row r="140" spans="33:39" ht="12.75">
      <c r="AG140" s="16"/>
      <c r="AH140" s="16"/>
      <c r="AI140" s="16"/>
      <c r="AJ140" s="16"/>
      <c r="AK140" s="16"/>
      <c r="AL140" s="16"/>
      <c r="AM140" s="16"/>
    </row>
    <row r="141" spans="33:39" ht="12.75">
      <c r="AG141" s="16"/>
      <c r="AH141" s="16"/>
      <c r="AI141" s="16"/>
      <c r="AJ141" s="16"/>
      <c r="AK141" s="16"/>
      <c r="AL141" s="16"/>
      <c r="AM141" s="16"/>
    </row>
    <row r="142" spans="33:39" ht="12.75">
      <c r="AG142" s="16"/>
      <c r="AH142" s="16"/>
      <c r="AI142" s="16"/>
      <c r="AJ142" s="16"/>
      <c r="AK142" s="16"/>
      <c r="AL142" s="16"/>
      <c r="AM142" s="16"/>
    </row>
    <row r="143" spans="33:39" ht="12.75">
      <c r="AG143" s="16"/>
      <c r="AH143" s="16"/>
      <c r="AI143" s="16"/>
      <c r="AJ143" s="16"/>
      <c r="AK143" s="16"/>
      <c r="AL143" s="16"/>
      <c r="AM143" s="16"/>
    </row>
    <row r="144" spans="33:39" ht="12.75">
      <c r="AG144" s="16"/>
      <c r="AH144" s="16"/>
      <c r="AI144" s="16"/>
      <c r="AJ144" s="16"/>
      <c r="AK144" s="16"/>
      <c r="AL144" s="16"/>
      <c r="AM144" s="16"/>
    </row>
    <row r="145" spans="33:39" ht="12.75">
      <c r="AG145" s="16"/>
      <c r="AH145" s="16"/>
      <c r="AI145" s="16"/>
      <c r="AJ145" s="16"/>
      <c r="AK145" s="16"/>
      <c r="AL145" s="16"/>
      <c r="AM145" s="16"/>
    </row>
    <row r="146" spans="33:39" ht="12.75">
      <c r="AG146" s="16"/>
      <c r="AH146" s="16"/>
      <c r="AI146" s="16"/>
      <c r="AJ146" s="16"/>
      <c r="AK146" s="16"/>
      <c r="AL146" s="16"/>
      <c r="AM146" s="16"/>
    </row>
    <row r="147" spans="33:39" ht="12.75">
      <c r="AG147" s="16"/>
      <c r="AH147" s="16"/>
      <c r="AI147" s="16"/>
      <c r="AJ147" s="16"/>
      <c r="AK147" s="16"/>
      <c r="AL147" s="16"/>
      <c r="AM147" s="16"/>
    </row>
    <row r="148" spans="33:39" ht="12.75">
      <c r="AG148" s="16"/>
      <c r="AH148" s="16"/>
      <c r="AI148" s="16"/>
      <c r="AJ148" s="16"/>
      <c r="AK148" s="16"/>
      <c r="AL148" s="16"/>
      <c r="AM148" s="16"/>
    </row>
    <row r="149" spans="33:39" ht="12.75">
      <c r="AG149" s="16"/>
      <c r="AH149" s="16"/>
      <c r="AI149" s="16"/>
      <c r="AJ149" s="16"/>
      <c r="AK149" s="16"/>
      <c r="AL149" s="16"/>
      <c r="AM149" s="16"/>
    </row>
    <row r="150" spans="33:39" ht="12.75">
      <c r="AG150" s="16"/>
      <c r="AH150" s="16"/>
      <c r="AI150" s="16"/>
      <c r="AJ150" s="16"/>
      <c r="AK150" s="16"/>
      <c r="AL150" s="16"/>
      <c r="AM150" s="16"/>
    </row>
    <row r="151" spans="33:39" ht="12.75">
      <c r="AG151" s="16"/>
      <c r="AH151" s="16"/>
      <c r="AI151" s="16"/>
      <c r="AJ151" s="16"/>
      <c r="AK151" s="16"/>
      <c r="AL151" s="16"/>
      <c r="AM151" s="16"/>
    </row>
    <row r="152" spans="33:39" ht="12.75">
      <c r="AG152" s="16"/>
      <c r="AH152" s="16"/>
      <c r="AI152" s="16"/>
      <c r="AJ152" s="16"/>
      <c r="AK152" s="16"/>
      <c r="AL152" s="16"/>
      <c r="AM152" s="16"/>
    </row>
    <row r="153" spans="33:39" ht="12.75">
      <c r="AG153" s="16"/>
      <c r="AH153" s="16"/>
      <c r="AI153" s="16"/>
      <c r="AJ153" s="16"/>
      <c r="AK153" s="16"/>
      <c r="AL153" s="16"/>
      <c r="AM153" s="16"/>
    </row>
    <row r="154" spans="33:39" ht="12.75">
      <c r="AG154" s="16"/>
      <c r="AH154" s="16"/>
      <c r="AI154" s="16"/>
      <c r="AJ154" s="16"/>
      <c r="AK154" s="16"/>
      <c r="AL154" s="16"/>
      <c r="AM154" s="16"/>
    </row>
    <row r="155" spans="33:39" ht="12.75">
      <c r="AG155" s="16"/>
      <c r="AH155" s="16"/>
      <c r="AI155" s="16"/>
      <c r="AJ155" s="16"/>
      <c r="AK155" s="16"/>
      <c r="AL155" s="16"/>
      <c r="AM155" s="16"/>
    </row>
    <row r="156" spans="33:39" ht="12.75">
      <c r="AG156" s="16"/>
      <c r="AH156" s="16"/>
      <c r="AI156" s="16"/>
      <c r="AJ156" s="16"/>
      <c r="AK156" s="16"/>
      <c r="AL156" s="16"/>
      <c r="AM156" s="16"/>
    </row>
    <row r="157" spans="33:39" ht="12.75">
      <c r="AG157" s="16"/>
      <c r="AH157" s="16"/>
      <c r="AI157" s="16"/>
      <c r="AJ157" s="16"/>
      <c r="AK157" s="16"/>
      <c r="AL157" s="16"/>
      <c r="AM157" s="16"/>
    </row>
    <row r="158" spans="33:39" ht="12.75">
      <c r="AG158" s="16"/>
      <c r="AH158" s="16"/>
      <c r="AI158" s="16"/>
      <c r="AJ158" s="16"/>
      <c r="AK158" s="16"/>
      <c r="AL158" s="16"/>
      <c r="AM158" s="16"/>
    </row>
    <row r="159" spans="33:39" ht="12.75">
      <c r="AG159" s="16"/>
      <c r="AH159" s="16"/>
      <c r="AI159" s="16"/>
      <c r="AJ159" s="16"/>
      <c r="AK159" s="16"/>
      <c r="AL159" s="16"/>
      <c r="AM159" s="16"/>
    </row>
    <row r="160" spans="33:39" ht="12.75">
      <c r="AG160" s="16"/>
      <c r="AH160" s="16"/>
      <c r="AI160" s="16"/>
      <c r="AJ160" s="16"/>
      <c r="AK160" s="16"/>
      <c r="AL160" s="16"/>
      <c r="AM160" s="16"/>
    </row>
    <row r="161" spans="33:39" ht="12.75">
      <c r="AG161" s="16"/>
      <c r="AH161" s="16"/>
      <c r="AI161" s="16"/>
      <c r="AJ161" s="16"/>
      <c r="AK161" s="16"/>
      <c r="AL161" s="16"/>
      <c r="AM161" s="16"/>
    </row>
    <row r="162" spans="33:39" ht="12.75">
      <c r="AG162" s="16"/>
      <c r="AH162" s="16"/>
      <c r="AI162" s="16"/>
      <c r="AJ162" s="16"/>
      <c r="AK162" s="16"/>
      <c r="AL162" s="16"/>
      <c r="AM162" s="16"/>
    </row>
    <row r="163" spans="33:39" ht="12.75">
      <c r="AG163" s="16"/>
      <c r="AH163" s="16"/>
      <c r="AI163" s="16"/>
      <c r="AJ163" s="16"/>
      <c r="AK163" s="16"/>
      <c r="AL163" s="16"/>
      <c r="AM163" s="16"/>
    </row>
    <row r="164" spans="33:39" ht="12.75">
      <c r="AG164" s="16"/>
      <c r="AH164" s="16"/>
      <c r="AI164" s="16"/>
      <c r="AJ164" s="16"/>
      <c r="AK164" s="16"/>
      <c r="AL164" s="16"/>
      <c r="AM164" s="16"/>
    </row>
    <row r="165" spans="33:39" ht="12.75">
      <c r="AG165" s="16"/>
      <c r="AH165" s="16"/>
      <c r="AI165" s="16"/>
      <c r="AJ165" s="16"/>
      <c r="AK165" s="16"/>
      <c r="AL165" s="16"/>
      <c r="AM165" s="16"/>
    </row>
    <row r="166" spans="33:39" ht="12.75">
      <c r="AG166" s="16"/>
      <c r="AH166" s="16"/>
      <c r="AI166" s="16"/>
      <c r="AJ166" s="16"/>
      <c r="AK166" s="16"/>
      <c r="AL166" s="16"/>
      <c r="AM166" s="16"/>
    </row>
    <row r="167" spans="33:39" ht="12.75">
      <c r="AG167" s="16"/>
      <c r="AH167" s="16"/>
      <c r="AI167" s="16"/>
      <c r="AJ167" s="16"/>
      <c r="AK167" s="16"/>
      <c r="AL167" s="16"/>
      <c r="AM167" s="16"/>
    </row>
    <row r="168" spans="33:39" ht="12.75">
      <c r="AG168" s="16"/>
      <c r="AH168" s="16"/>
      <c r="AI168" s="16"/>
      <c r="AJ168" s="16"/>
      <c r="AK168" s="16"/>
      <c r="AL168" s="16"/>
      <c r="AM168" s="16"/>
    </row>
    <row r="169" spans="33:39" ht="12.75">
      <c r="AG169" s="16"/>
      <c r="AH169" s="16"/>
      <c r="AI169" s="16"/>
      <c r="AJ169" s="16"/>
      <c r="AK169" s="16"/>
      <c r="AL169" s="16"/>
      <c r="AM169" s="16"/>
    </row>
    <row r="170" spans="33:39" ht="12.75">
      <c r="AG170" s="16"/>
      <c r="AH170" s="16"/>
      <c r="AI170" s="16"/>
      <c r="AJ170" s="16"/>
      <c r="AK170" s="16"/>
      <c r="AL170" s="16"/>
      <c r="AM170" s="16"/>
    </row>
    <row r="171" spans="33:39" ht="12.75">
      <c r="AG171" s="16"/>
      <c r="AH171" s="16"/>
      <c r="AI171" s="16"/>
      <c r="AJ171" s="16"/>
      <c r="AK171" s="16"/>
      <c r="AL171" s="16"/>
      <c r="AM171" s="16"/>
    </row>
    <row r="172" spans="33:39" ht="12.75">
      <c r="AG172" s="16"/>
      <c r="AH172" s="16"/>
      <c r="AI172" s="16"/>
      <c r="AJ172" s="16"/>
      <c r="AK172" s="16"/>
      <c r="AL172" s="16"/>
      <c r="AM172" s="16"/>
    </row>
    <row r="173" spans="33:39" ht="12.75">
      <c r="AG173" s="16"/>
      <c r="AH173" s="16"/>
      <c r="AI173" s="16"/>
      <c r="AJ173" s="16"/>
      <c r="AK173" s="16"/>
      <c r="AL173" s="16"/>
      <c r="AM173" s="16"/>
    </row>
    <row r="174" spans="33:39" ht="12.75">
      <c r="AG174" s="16"/>
      <c r="AH174" s="16"/>
      <c r="AI174" s="16"/>
      <c r="AJ174" s="16"/>
      <c r="AK174" s="16"/>
      <c r="AL174" s="16"/>
      <c r="AM174" s="16"/>
    </row>
    <row r="175" spans="33:39" ht="12.75">
      <c r="AG175" s="16"/>
      <c r="AH175" s="16"/>
      <c r="AI175" s="16"/>
      <c r="AJ175" s="16"/>
      <c r="AK175" s="16"/>
      <c r="AL175" s="16"/>
      <c r="AM175" s="16"/>
    </row>
    <row r="176" spans="33:39" ht="12.75">
      <c r="AG176" s="16"/>
      <c r="AH176" s="16"/>
      <c r="AI176" s="16"/>
      <c r="AJ176" s="16"/>
      <c r="AK176" s="16"/>
      <c r="AL176" s="16"/>
      <c r="AM176" s="16"/>
    </row>
    <row r="177" spans="33:39" ht="12.75">
      <c r="AG177" s="16"/>
      <c r="AH177" s="16"/>
      <c r="AI177" s="16"/>
      <c r="AJ177" s="16"/>
      <c r="AK177" s="16"/>
      <c r="AL177" s="16"/>
      <c r="AM177" s="16"/>
    </row>
    <row r="178" spans="33:39" ht="12.75">
      <c r="AG178" s="16"/>
      <c r="AH178" s="16"/>
      <c r="AI178" s="16"/>
      <c r="AJ178" s="16"/>
      <c r="AK178" s="16"/>
      <c r="AL178" s="16"/>
      <c r="AM178" s="16"/>
    </row>
    <row r="179" spans="33:39" ht="12.75">
      <c r="AG179" s="16"/>
      <c r="AH179" s="16"/>
      <c r="AI179" s="16"/>
      <c r="AJ179" s="16"/>
      <c r="AK179" s="16"/>
      <c r="AL179" s="16"/>
      <c r="AM179" s="16"/>
    </row>
    <row r="180" spans="33:39" ht="12.75">
      <c r="AG180" s="16"/>
      <c r="AH180" s="16"/>
      <c r="AI180" s="16"/>
      <c r="AJ180" s="16"/>
      <c r="AK180" s="16"/>
      <c r="AL180" s="16"/>
      <c r="AM180" s="16"/>
    </row>
    <row r="181" spans="33:39" ht="12.75">
      <c r="AG181" s="16"/>
      <c r="AH181" s="16"/>
      <c r="AI181" s="16"/>
      <c r="AJ181" s="16"/>
      <c r="AK181" s="16"/>
      <c r="AL181" s="16"/>
      <c r="AM181" s="16"/>
    </row>
    <row r="182" spans="33:39" ht="12.75">
      <c r="AG182" s="16"/>
      <c r="AH182" s="16"/>
      <c r="AI182" s="16"/>
      <c r="AJ182" s="16"/>
      <c r="AK182" s="16"/>
      <c r="AL182" s="16"/>
      <c r="AM182" s="16"/>
    </row>
    <row r="183" spans="33:39" ht="12.75">
      <c r="AG183" s="16"/>
      <c r="AH183" s="16"/>
      <c r="AI183" s="16"/>
      <c r="AJ183" s="16"/>
      <c r="AK183" s="16"/>
      <c r="AL183" s="16"/>
      <c r="AM183" s="16"/>
    </row>
    <row r="184" spans="33:39" ht="12.75">
      <c r="AG184" s="16"/>
      <c r="AH184" s="16"/>
      <c r="AI184" s="16"/>
      <c r="AJ184" s="16"/>
      <c r="AK184" s="16"/>
      <c r="AL184" s="16"/>
      <c r="AM184" s="16"/>
    </row>
    <row r="185" spans="33:39" ht="12.75">
      <c r="AG185" s="16"/>
      <c r="AH185" s="16"/>
      <c r="AI185" s="16"/>
      <c r="AJ185" s="16"/>
      <c r="AK185" s="16"/>
      <c r="AL185" s="16"/>
      <c r="AM185" s="16"/>
    </row>
    <row r="186" spans="33:39" ht="12.75">
      <c r="AG186" s="16"/>
      <c r="AH186" s="16"/>
      <c r="AI186" s="16"/>
      <c r="AJ186" s="16"/>
      <c r="AK186" s="16"/>
      <c r="AL186" s="16"/>
      <c r="AM186" s="16"/>
    </row>
    <row r="187" spans="33:39" ht="12.75">
      <c r="AG187" s="16"/>
      <c r="AH187" s="16"/>
      <c r="AI187" s="16"/>
      <c r="AJ187" s="16"/>
      <c r="AK187" s="16"/>
      <c r="AL187" s="16"/>
      <c r="AM187" s="16"/>
    </row>
    <row r="188" spans="33:39" ht="12.75">
      <c r="AG188" s="16"/>
      <c r="AH188" s="16"/>
      <c r="AI188" s="16"/>
      <c r="AJ188" s="16"/>
      <c r="AK188" s="16"/>
      <c r="AL188" s="16"/>
      <c r="AM188" s="16"/>
    </row>
    <row r="189" spans="33:39" ht="12.75">
      <c r="AG189" s="16"/>
      <c r="AH189" s="16"/>
      <c r="AI189" s="16"/>
      <c r="AJ189" s="16"/>
      <c r="AK189" s="16"/>
      <c r="AL189" s="16"/>
      <c r="AM189" s="16"/>
    </row>
    <row r="190" spans="33:39" ht="12.75">
      <c r="AG190" s="16"/>
      <c r="AH190" s="16"/>
      <c r="AI190" s="16"/>
      <c r="AJ190" s="16"/>
      <c r="AK190" s="16"/>
      <c r="AL190" s="16"/>
      <c r="AM190" s="16"/>
    </row>
    <row r="191" spans="33:39" ht="12.75">
      <c r="AG191" s="16"/>
      <c r="AH191" s="16"/>
      <c r="AI191" s="16"/>
      <c r="AJ191" s="16"/>
      <c r="AK191" s="16"/>
      <c r="AL191" s="16"/>
      <c r="AM191" s="16"/>
    </row>
    <row r="192" spans="33:39" ht="12.75">
      <c r="AG192" s="16"/>
      <c r="AH192" s="16"/>
      <c r="AI192" s="16"/>
      <c r="AJ192" s="16"/>
      <c r="AK192" s="16"/>
      <c r="AL192" s="16"/>
      <c r="AM192" s="16"/>
    </row>
    <row r="193" spans="33:39" ht="12.75">
      <c r="AG193" s="16"/>
      <c r="AH193" s="16"/>
      <c r="AI193" s="16"/>
      <c r="AJ193" s="16"/>
      <c r="AK193" s="16"/>
      <c r="AL193" s="16"/>
      <c r="AM193" s="16"/>
    </row>
    <row r="194" spans="33:39" ht="12.75">
      <c r="AG194" s="16"/>
      <c r="AH194" s="16"/>
      <c r="AI194" s="16"/>
      <c r="AJ194" s="16"/>
      <c r="AK194" s="16"/>
      <c r="AL194" s="16"/>
      <c r="AM194" s="16"/>
    </row>
    <row r="195" spans="33:39" ht="12.75">
      <c r="AG195" s="16"/>
      <c r="AH195" s="16"/>
      <c r="AI195" s="16"/>
      <c r="AJ195" s="16"/>
      <c r="AK195" s="16"/>
      <c r="AL195" s="16"/>
      <c r="AM195" s="16"/>
    </row>
    <row r="196" spans="33:39" ht="12.75">
      <c r="AG196" s="16"/>
      <c r="AH196" s="16"/>
      <c r="AI196" s="16"/>
      <c r="AJ196" s="16"/>
      <c r="AK196" s="16"/>
      <c r="AL196" s="16"/>
      <c r="AM196" s="16"/>
    </row>
    <row r="197" spans="33:39" ht="12.75">
      <c r="AG197" s="16"/>
      <c r="AH197" s="16"/>
      <c r="AI197" s="16"/>
      <c r="AJ197" s="16"/>
      <c r="AK197" s="16"/>
      <c r="AL197" s="16"/>
      <c r="AM197" s="16"/>
    </row>
    <row r="198" spans="33:39" ht="12.75">
      <c r="AG198" s="16"/>
      <c r="AH198" s="16"/>
      <c r="AI198" s="16"/>
      <c r="AJ198" s="16"/>
      <c r="AK198" s="16"/>
      <c r="AL198" s="16"/>
      <c r="AM198" s="16"/>
    </row>
    <row r="199" spans="33:39" ht="12.75">
      <c r="AG199" s="16"/>
      <c r="AH199" s="16"/>
      <c r="AI199" s="16"/>
      <c r="AJ199" s="16"/>
      <c r="AK199" s="16"/>
      <c r="AL199" s="16"/>
      <c r="AM199" s="16"/>
    </row>
    <row r="200" spans="33:39" ht="12.75">
      <c r="AG200" s="16"/>
      <c r="AH200" s="16"/>
      <c r="AI200" s="16"/>
      <c r="AJ200" s="16"/>
      <c r="AK200" s="16"/>
      <c r="AL200" s="16"/>
      <c r="AM200" s="16"/>
    </row>
    <row r="201" spans="33:39" ht="12.75">
      <c r="AG201" s="16"/>
      <c r="AH201" s="16"/>
      <c r="AI201" s="16"/>
      <c r="AJ201" s="16"/>
      <c r="AK201" s="16"/>
      <c r="AL201" s="16"/>
      <c r="AM201" s="16"/>
    </row>
    <row r="202" spans="33:39" ht="12.75">
      <c r="AG202" s="16"/>
      <c r="AH202" s="16"/>
      <c r="AI202" s="16"/>
      <c r="AJ202" s="16"/>
      <c r="AK202" s="16"/>
      <c r="AL202" s="16"/>
      <c r="AM202" s="16"/>
    </row>
    <row r="203" spans="33:39" ht="12.75">
      <c r="AG203" s="16"/>
      <c r="AH203" s="16"/>
      <c r="AI203" s="16"/>
      <c r="AJ203" s="16"/>
      <c r="AK203" s="16"/>
      <c r="AL203" s="16"/>
      <c r="AM203" s="16"/>
    </row>
    <row r="204" spans="33:39" ht="12.75">
      <c r="AG204" s="16"/>
      <c r="AH204" s="16"/>
      <c r="AI204" s="16"/>
      <c r="AJ204" s="16"/>
      <c r="AK204" s="16"/>
      <c r="AL204" s="16"/>
      <c r="AM204" s="16"/>
    </row>
    <row r="205" spans="33:39" ht="12.75">
      <c r="AG205" s="16"/>
      <c r="AH205" s="16"/>
      <c r="AI205" s="16"/>
      <c r="AJ205" s="16"/>
      <c r="AK205" s="16"/>
      <c r="AL205" s="16"/>
      <c r="AM205" s="16"/>
    </row>
    <row r="206" spans="33:39" ht="12.75">
      <c r="AG206" s="16"/>
      <c r="AH206" s="16"/>
      <c r="AI206" s="16"/>
      <c r="AJ206" s="16"/>
      <c r="AK206" s="16"/>
      <c r="AL206" s="16"/>
      <c r="AM206" s="16"/>
    </row>
    <row r="207" spans="33:39" ht="12.75">
      <c r="AG207" s="16"/>
      <c r="AH207" s="16"/>
      <c r="AI207" s="16"/>
      <c r="AJ207" s="16"/>
      <c r="AK207" s="16"/>
      <c r="AL207" s="16"/>
      <c r="AM207" s="16"/>
    </row>
    <row r="208" spans="33:39" ht="12.75">
      <c r="AG208" s="16"/>
      <c r="AH208" s="16"/>
      <c r="AI208" s="16"/>
      <c r="AJ208" s="16"/>
      <c r="AK208" s="16"/>
      <c r="AL208" s="16"/>
      <c r="AM208" s="16"/>
    </row>
    <row r="209" spans="33:39" ht="12.75">
      <c r="AG209" s="16"/>
      <c r="AH209" s="16"/>
      <c r="AI209" s="16"/>
      <c r="AJ209" s="16"/>
      <c r="AK209" s="16"/>
      <c r="AL209" s="16"/>
      <c r="AM209" s="16"/>
    </row>
    <row r="210" spans="33:39" ht="12.75">
      <c r="AG210" s="16"/>
      <c r="AH210" s="16"/>
      <c r="AI210" s="16"/>
      <c r="AJ210" s="16"/>
      <c r="AK210" s="16"/>
      <c r="AL210" s="16"/>
      <c r="AM210" s="16"/>
    </row>
    <row r="211" spans="33:39" ht="12.75">
      <c r="AG211" s="16"/>
      <c r="AH211" s="16"/>
      <c r="AI211" s="16"/>
      <c r="AJ211" s="16"/>
      <c r="AK211" s="16"/>
      <c r="AL211" s="16"/>
      <c r="AM211" s="16"/>
    </row>
    <row r="212" spans="33:39" ht="12.75">
      <c r="AG212" s="16"/>
      <c r="AH212" s="16"/>
      <c r="AI212" s="16"/>
      <c r="AJ212" s="16"/>
      <c r="AK212" s="16"/>
      <c r="AL212" s="16"/>
      <c r="AM212" s="16"/>
    </row>
    <row r="213" spans="33:39" ht="12.75">
      <c r="AG213" s="16"/>
      <c r="AH213" s="16"/>
      <c r="AI213" s="16"/>
      <c r="AJ213" s="16"/>
      <c r="AK213" s="16"/>
      <c r="AL213" s="16"/>
      <c r="AM213" s="16"/>
    </row>
    <row r="214" spans="33:39" ht="12.75">
      <c r="AG214" s="16"/>
      <c r="AH214" s="16"/>
      <c r="AI214" s="16"/>
      <c r="AJ214" s="16"/>
      <c r="AK214" s="16"/>
      <c r="AL214" s="16"/>
      <c r="AM214" s="16"/>
    </row>
    <row r="215" spans="33:39" ht="12.75">
      <c r="AG215" s="16"/>
      <c r="AH215" s="16"/>
      <c r="AI215" s="16"/>
      <c r="AJ215" s="16"/>
      <c r="AK215" s="16"/>
      <c r="AL215" s="16"/>
      <c r="AM215" s="16"/>
    </row>
    <row r="216" spans="33:39" ht="12.75">
      <c r="AG216" s="16"/>
      <c r="AH216" s="16"/>
      <c r="AI216" s="16"/>
      <c r="AJ216" s="16"/>
      <c r="AK216" s="16"/>
      <c r="AL216" s="16"/>
      <c r="AM216" s="16"/>
    </row>
    <row r="217" spans="33:39" ht="12.75">
      <c r="AG217" s="16"/>
      <c r="AH217" s="16"/>
      <c r="AI217" s="16"/>
      <c r="AJ217" s="16"/>
      <c r="AK217" s="16"/>
      <c r="AL217" s="16"/>
      <c r="AM217" s="16"/>
    </row>
    <row r="218" spans="33:39" ht="12.75">
      <c r="AG218" s="16"/>
      <c r="AH218" s="16"/>
      <c r="AI218" s="16"/>
      <c r="AJ218" s="16"/>
      <c r="AK218" s="16"/>
      <c r="AL218" s="16"/>
      <c r="AM218" s="16"/>
    </row>
    <row r="219" spans="33:39" ht="12.75">
      <c r="AG219" s="16"/>
      <c r="AH219" s="16"/>
      <c r="AI219" s="16"/>
      <c r="AJ219" s="16"/>
      <c r="AK219" s="16"/>
      <c r="AL219" s="16"/>
      <c r="AM219" s="16"/>
    </row>
    <row r="220" spans="33:39" ht="12.75">
      <c r="AG220" s="16"/>
      <c r="AH220" s="16"/>
      <c r="AI220" s="16"/>
      <c r="AJ220" s="16"/>
      <c r="AK220" s="16"/>
      <c r="AL220" s="16"/>
      <c r="AM220" s="16"/>
    </row>
    <row r="221" spans="33:39" ht="12.75">
      <c r="AG221" s="16"/>
      <c r="AH221" s="16"/>
      <c r="AI221" s="16"/>
      <c r="AJ221" s="16"/>
      <c r="AK221" s="16"/>
      <c r="AL221" s="16"/>
      <c r="AM221" s="16"/>
    </row>
    <row r="222" spans="33:39" ht="12.75">
      <c r="AG222" s="16"/>
      <c r="AH222" s="16"/>
      <c r="AI222" s="16"/>
      <c r="AJ222" s="16"/>
      <c r="AK222" s="16"/>
      <c r="AL222" s="16"/>
      <c r="AM222" s="16"/>
    </row>
    <row r="223" spans="33:39" ht="12.75">
      <c r="AG223" s="16"/>
      <c r="AH223" s="16"/>
      <c r="AI223" s="16"/>
      <c r="AJ223" s="16"/>
      <c r="AK223" s="16"/>
      <c r="AL223" s="16"/>
      <c r="AM223" s="16"/>
    </row>
    <row r="224" spans="33:39" ht="12.75">
      <c r="AG224" s="16"/>
      <c r="AH224" s="16"/>
      <c r="AI224" s="16"/>
      <c r="AJ224" s="16"/>
      <c r="AK224" s="16"/>
      <c r="AL224" s="16"/>
      <c r="AM224" s="16"/>
    </row>
    <row r="225" spans="33:39" ht="12.75">
      <c r="AG225" s="16"/>
      <c r="AH225" s="16"/>
      <c r="AI225" s="16"/>
      <c r="AJ225" s="16"/>
      <c r="AK225" s="16"/>
      <c r="AL225" s="16"/>
      <c r="AM225" s="16"/>
    </row>
    <row r="226" spans="33:39" ht="12.75">
      <c r="AG226" s="16"/>
      <c r="AH226" s="16"/>
      <c r="AI226" s="16"/>
      <c r="AJ226" s="16"/>
      <c r="AK226" s="16"/>
      <c r="AL226" s="16"/>
      <c r="AM226" s="16"/>
    </row>
    <row r="227" spans="33:39" ht="12.75">
      <c r="AG227" s="16"/>
      <c r="AH227" s="16"/>
      <c r="AI227" s="16"/>
      <c r="AJ227" s="16"/>
      <c r="AK227" s="16"/>
      <c r="AL227" s="16"/>
      <c r="AM227" s="16"/>
    </row>
    <row r="228" spans="33:39" ht="12.75">
      <c r="AG228" s="16"/>
      <c r="AH228" s="16"/>
      <c r="AI228" s="16"/>
      <c r="AJ228" s="16"/>
      <c r="AK228" s="16"/>
      <c r="AL228" s="16"/>
      <c r="AM228" s="16"/>
    </row>
    <row r="229" spans="33:39" ht="12.75">
      <c r="AG229" s="16"/>
      <c r="AH229" s="16"/>
      <c r="AI229" s="16"/>
      <c r="AJ229" s="16"/>
      <c r="AK229" s="16"/>
      <c r="AL229" s="16"/>
      <c r="AM229" s="16"/>
    </row>
    <row r="230" spans="33:39" ht="12.75">
      <c r="AG230" s="16"/>
      <c r="AH230" s="16"/>
      <c r="AI230" s="16"/>
      <c r="AJ230" s="16"/>
      <c r="AK230" s="16"/>
      <c r="AL230" s="16"/>
      <c r="AM230" s="16"/>
    </row>
    <row r="231" spans="33:39" ht="12.75">
      <c r="AG231" s="16"/>
      <c r="AH231" s="16"/>
      <c r="AI231" s="16"/>
      <c r="AJ231" s="16"/>
      <c r="AK231" s="16"/>
      <c r="AL231" s="16"/>
      <c r="AM231" s="16"/>
    </row>
    <row r="232" spans="33:39" ht="12.75">
      <c r="AG232" s="16"/>
      <c r="AH232" s="16"/>
      <c r="AI232" s="16"/>
      <c r="AJ232" s="16"/>
      <c r="AK232" s="16"/>
      <c r="AL232" s="16"/>
      <c r="AM232" s="16"/>
    </row>
    <row r="233" spans="33:39" ht="12.75">
      <c r="AG233" s="16"/>
      <c r="AH233" s="16"/>
      <c r="AI233" s="16"/>
      <c r="AJ233" s="16"/>
      <c r="AK233" s="16"/>
      <c r="AL233" s="16"/>
      <c r="AM233" s="16"/>
    </row>
    <row r="234" spans="33:39" ht="12.75">
      <c r="AG234" s="16"/>
      <c r="AH234" s="16"/>
      <c r="AI234" s="16"/>
      <c r="AJ234" s="16"/>
      <c r="AK234" s="16"/>
      <c r="AL234" s="16"/>
      <c r="AM234" s="16"/>
    </row>
    <row r="235" spans="33:39" ht="12.75">
      <c r="AG235" s="16"/>
      <c r="AH235" s="16"/>
      <c r="AI235" s="16"/>
      <c r="AJ235" s="16"/>
      <c r="AK235" s="16"/>
      <c r="AL235" s="16"/>
      <c r="AM235" s="16"/>
    </row>
    <row r="236" spans="33:39" ht="12.75">
      <c r="AG236" s="16"/>
      <c r="AH236" s="16"/>
      <c r="AI236" s="16"/>
      <c r="AJ236" s="16"/>
      <c r="AK236" s="16"/>
      <c r="AL236" s="16"/>
      <c r="AM236" s="16"/>
    </row>
    <row r="237" spans="33:39" ht="12.75">
      <c r="AG237" s="16"/>
      <c r="AH237" s="16"/>
      <c r="AI237" s="16"/>
      <c r="AJ237" s="16"/>
      <c r="AK237" s="16"/>
      <c r="AL237" s="16"/>
      <c r="AM237" s="16"/>
    </row>
    <row r="238" spans="33:39" ht="12.75">
      <c r="AG238" s="16"/>
      <c r="AH238" s="16"/>
      <c r="AI238" s="16"/>
      <c r="AJ238" s="16"/>
      <c r="AK238" s="16"/>
      <c r="AL238" s="16"/>
      <c r="AM238" s="16"/>
    </row>
    <row r="239" spans="33:39" ht="12.75">
      <c r="AG239" s="16"/>
      <c r="AH239" s="16"/>
      <c r="AI239" s="16"/>
      <c r="AJ239" s="16"/>
      <c r="AK239" s="16"/>
      <c r="AL239" s="16"/>
      <c r="AM239" s="16"/>
    </row>
    <row r="240" spans="33:39" ht="12.75">
      <c r="AG240" s="16"/>
      <c r="AH240" s="16"/>
      <c r="AI240" s="16"/>
      <c r="AJ240" s="16"/>
      <c r="AK240" s="16"/>
      <c r="AL240" s="16"/>
      <c r="AM240" s="16"/>
    </row>
    <row r="241" spans="33:39" ht="12.75">
      <c r="AG241" s="16"/>
      <c r="AH241" s="16"/>
      <c r="AI241" s="16"/>
      <c r="AJ241" s="16"/>
      <c r="AK241" s="16"/>
      <c r="AL241" s="16"/>
      <c r="AM241" s="16"/>
    </row>
    <row r="242" spans="33:39" ht="12.75">
      <c r="AG242" s="16"/>
      <c r="AH242" s="16"/>
      <c r="AI242" s="16"/>
      <c r="AJ242" s="16"/>
      <c r="AK242" s="16"/>
      <c r="AL242" s="16"/>
      <c r="AM242" s="16"/>
    </row>
    <row r="243" spans="33:39" ht="12.75">
      <c r="AG243" s="16"/>
      <c r="AH243" s="16"/>
      <c r="AI243" s="16"/>
      <c r="AJ243" s="16"/>
      <c r="AK243" s="16"/>
      <c r="AL243" s="16"/>
      <c r="AM243" s="16"/>
    </row>
    <row r="244" spans="33:39" ht="12.75">
      <c r="AG244" s="16"/>
      <c r="AH244" s="16"/>
      <c r="AI244" s="16"/>
      <c r="AJ244" s="16"/>
      <c r="AK244" s="16"/>
      <c r="AL244" s="16"/>
      <c r="AM244" s="16"/>
    </row>
    <row r="245" spans="33:39" ht="12.75">
      <c r="AG245" s="16"/>
      <c r="AH245" s="16"/>
      <c r="AI245" s="16"/>
      <c r="AJ245" s="16"/>
      <c r="AK245" s="16"/>
      <c r="AL245" s="16"/>
      <c r="AM245" s="16"/>
    </row>
    <row r="246" spans="33:39" ht="12.75">
      <c r="AG246" s="16"/>
      <c r="AH246" s="16"/>
      <c r="AI246" s="16"/>
      <c r="AJ246" s="16"/>
      <c r="AK246" s="16"/>
      <c r="AL246" s="16"/>
      <c r="AM246" s="16"/>
    </row>
    <row r="247" spans="33:39" ht="12.75">
      <c r="AG247" s="16"/>
      <c r="AH247" s="16"/>
      <c r="AI247" s="16"/>
      <c r="AJ247" s="16"/>
      <c r="AK247" s="16"/>
      <c r="AL247" s="16"/>
      <c r="AM247" s="16"/>
    </row>
    <row r="248" spans="33:39" ht="12.75">
      <c r="AG248" s="16"/>
      <c r="AH248" s="16"/>
      <c r="AI248" s="16"/>
      <c r="AJ248" s="16"/>
      <c r="AK248" s="16"/>
      <c r="AL248" s="16"/>
      <c r="AM248" s="16"/>
    </row>
    <row r="249" spans="33:39" ht="12.75">
      <c r="AG249" s="16"/>
      <c r="AH249" s="16"/>
      <c r="AI249" s="16"/>
      <c r="AJ249" s="16"/>
      <c r="AK249" s="16"/>
      <c r="AL249" s="16"/>
      <c r="AM249" s="16"/>
    </row>
    <row r="250" spans="33:39" ht="12.75">
      <c r="AG250" s="16"/>
      <c r="AH250" s="16"/>
      <c r="AI250" s="16"/>
      <c r="AJ250" s="16"/>
      <c r="AK250" s="16"/>
      <c r="AL250" s="16"/>
      <c r="AM250" s="16"/>
    </row>
    <row r="251" spans="33:39" ht="12.75">
      <c r="AG251" s="16"/>
      <c r="AH251" s="16"/>
      <c r="AI251" s="16"/>
      <c r="AJ251" s="16"/>
      <c r="AK251" s="16"/>
      <c r="AL251" s="16"/>
      <c r="AM251" s="16"/>
    </row>
    <row r="252" spans="33:39" ht="12.75">
      <c r="AG252" s="16"/>
      <c r="AH252" s="16"/>
      <c r="AI252" s="16"/>
      <c r="AJ252" s="16"/>
      <c r="AK252" s="16"/>
      <c r="AL252" s="16"/>
      <c r="AM252" s="16"/>
    </row>
    <row r="253" spans="33:39" ht="12.75">
      <c r="AG253" s="16"/>
      <c r="AH253" s="16"/>
      <c r="AI253" s="16"/>
      <c r="AJ253" s="16"/>
      <c r="AK253" s="16"/>
      <c r="AL253" s="16"/>
      <c r="AM253" s="16"/>
    </row>
    <row r="254" spans="33:39" ht="12.75">
      <c r="AG254" s="16"/>
      <c r="AH254" s="16"/>
      <c r="AI254" s="16"/>
      <c r="AJ254" s="16"/>
      <c r="AK254" s="16"/>
      <c r="AL254" s="16"/>
      <c r="AM254" s="16"/>
    </row>
    <row r="255" spans="33:39" ht="12.75">
      <c r="AG255" s="16"/>
      <c r="AH255" s="16"/>
      <c r="AI255" s="16"/>
      <c r="AJ255" s="16"/>
      <c r="AK255" s="16"/>
      <c r="AL255" s="16"/>
      <c r="AM255" s="16"/>
    </row>
    <row r="256" spans="33:39" ht="12.75">
      <c r="AG256" s="16"/>
      <c r="AH256" s="16"/>
      <c r="AI256" s="16"/>
      <c r="AJ256" s="16"/>
      <c r="AK256" s="16"/>
      <c r="AL256" s="16"/>
      <c r="AM256" s="16"/>
    </row>
    <row r="257" spans="33:39" ht="12.75">
      <c r="AG257" s="16"/>
      <c r="AH257" s="16"/>
      <c r="AI257" s="16"/>
      <c r="AJ257" s="16"/>
      <c r="AK257" s="16"/>
      <c r="AL257" s="16"/>
      <c r="AM257" s="16"/>
    </row>
    <row r="258" spans="33:39" ht="12.75">
      <c r="AG258" s="16"/>
      <c r="AH258" s="16"/>
      <c r="AI258" s="16"/>
      <c r="AJ258" s="16"/>
      <c r="AK258" s="16"/>
      <c r="AL258" s="16"/>
      <c r="AM258" s="16"/>
    </row>
    <row r="259" spans="33:39" ht="12.75">
      <c r="AG259" s="16"/>
      <c r="AH259" s="16"/>
      <c r="AI259" s="16"/>
      <c r="AJ259" s="16"/>
      <c r="AK259" s="16"/>
      <c r="AL259" s="16"/>
      <c r="AM259" s="16"/>
    </row>
    <row r="260" spans="33:39" ht="12.75">
      <c r="AG260" s="16"/>
      <c r="AH260" s="16"/>
      <c r="AI260" s="16"/>
      <c r="AJ260" s="16"/>
      <c r="AK260" s="16"/>
      <c r="AL260" s="16"/>
      <c r="AM260" s="16"/>
    </row>
    <row r="261" spans="33:39" ht="12.75">
      <c r="AG261" s="16"/>
      <c r="AH261" s="16"/>
      <c r="AI261" s="16"/>
      <c r="AJ261" s="16"/>
      <c r="AK261" s="16"/>
      <c r="AL261" s="16"/>
      <c r="AM261" s="16"/>
    </row>
    <row r="262" spans="33:39" ht="12.75">
      <c r="AG262" s="16"/>
      <c r="AH262" s="16"/>
      <c r="AI262" s="16"/>
      <c r="AJ262" s="16"/>
      <c r="AK262" s="16"/>
      <c r="AL262" s="16"/>
      <c r="AM262" s="16"/>
    </row>
    <row r="263" spans="33:39" ht="12.75">
      <c r="AG263" s="16"/>
      <c r="AH263" s="16"/>
      <c r="AI263" s="16"/>
      <c r="AJ263" s="16"/>
      <c r="AK263" s="16"/>
      <c r="AL263" s="16"/>
      <c r="AM263" s="16"/>
    </row>
    <row r="264" spans="33:39" ht="12.75">
      <c r="AG264" s="16"/>
      <c r="AH264" s="16"/>
      <c r="AI264" s="16"/>
      <c r="AJ264" s="16"/>
      <c r="AK264" s="16"/>
      <c r="AL264" s="16"/>
      <c r="AM264" s="16"/>
    </row>
    <row r="265" spans="33:39" ht="12.75">
      <c r="AG265" s="16"/>
      <c r="AH265" s="16"/>
      <c r="AI265" s="16"/>
      <c r="AJ265" s="16"/>
      <c r="AK265" s="16"/>
      <c r="AL265" s="16"/>
      <c r="AM265" s="16"/>
    </row>
    <row r="266" spans="33:39" ht="12.75">
      <c r="AG266" s="16"/>
      <c r="AH266" s="16"/>
      <c r="AI266" s="16"/>
      <c r="AJ266" s="16"/>
      <c r="AK266" s="16"/>
      <c r="AL266" s="16"/>
      <c r="AM266" s="16"/>
    </row>
    <row r="267" spans="33:39" ht="12.75">
      <c r="AG267" s="16"/>
      <c r="AH267" s="16"/>
      <c r="AI267" s="16"/>
      <c r="AJ267" s="16"/>
      <c r="AK267" s="16"/>
      <c r="AL267" s="16"/>
      <c r="AM267" s="16"/>
    </row>
    <row r="268" spans="33:39" ht="12.75">
      <c r="AG268" s="16"/>
      <c r="AH268" s="16"/>
      <c r="AI268" s="16"/>
      <c r="AJ268" s="16"/>
      <c r="AK268" s="16"/>
      <c r="AL268" s="16"/>
      <c r="AM268" s="16"/>
    </row>
    <row r="269" spans="33:39" ht="12.75">
      <c r="AG269" s="16"/>
      <c r="AH269" s="16"/>
      <c r="AI269" s="16"/>
      <c r="AJ269" s="16"/>
      <c r="AK269" s="16"/>
      <c r="AL269" s="16"/>
      <c r="AM269" s="16"/>
    </row>
    <row r="270" spans="33:39" ht="12.75">
      <c r="AG270" s="16"/>
      <c r="AH270" s="16"/>
      <c r="AI270" s="16"/>
      <c r="AJ270" s="16"/>
      <c r="AK270" s="16"/>
      <c r="AL270" s="16"/>
      <c r="AM270" s="16"/>
    </row>
    <row r="271" spans="33:39" ht="12.75">
      <c r="AG271" s="16"/>
      <c r="AH271" s="16"/>
      <c r="AI271" s="16"/>
      <c r="AJ271" s="16"/>
      <c r="AK271" s="16"/>
      <c r="AL271" s="16"/>
      <c r="AM271" s="16"/>
    </row>
    <row r="272" spans="33:39" ht="12.75">
      <c r="AG272" s="16"/>
      <c r="AH272" s="16"/>
      <c r="AI272" s="16"/>
      <c r="AJ272" s="16"/>
      <c r="AK272" s="16"/>
      <c r="AL272" s="16"/>
      <c r="AM272" s="16"/>
    </row>
    <row r="273" spans="33:39" ht="12.75">
      <c r="AG273" s="16"/>
      <c r="AH273" s="16"/>
      <c r="AI273" s="16"/>
      <c r="AJ273" s="16"/>
      <c r="AK273" s="16"/>
      <c r="AL273" s="16"/>
      <c r="AM273" s="16"/>
    </row>
    <row r="274" spans="33:39" ht="12.75">
      <c r="AG274" s="16"/>
      <c r="AH274" s="16"/>
      <c r="AI274" s="16"/>
      <c r="AJ274" s="16"/>
      <c r="AK274" s="16"/>
      <c r="AL274" s="16"/>
      <c r="AM274" s="16"/>
    </row>
    <row r="275" spans="33:39" ht="12.75">
      <c r="AG275" s="16"/>
      <c r="AH275" s="16"/>
      <c r="AI275" s="16"/>
      <c r="AJ275" s="16"/>
      <c r="AK275" s="16"/>
      <c r="AL275" s="16"/>
      <c r="AM275" s="16"/>
    </row>
    <row r="276" spans="33:39" ht="12.75">
      <c r="AG276" s="16"/>
      <c r="AH276" s="16"/>
      <c r="AI276" s="16"/>
      <c r="AJ276" s="16"/>
      <c r="AK276" s="16"/>
      <c r="AL276" s="16"/>
      <c r="AM276" s="16"/>
    </row>
    <row r="277" spans="33:39" ht="12.75">
      <c r="AG277" s="16"/>
      <c r="AH277" s="16"/>
      <c r="AI277" s="16"/>
      <c r="AJ277" s="16"/>
      <c r="AK277" s="16"/>
      <c r="AL277" s="16"/>
      <c r="AM277" s="16"/>
    </row>
    <row r="278" spans="33:39" ht="12.75">
      <c r="AG278" s="16"/>
      <c r="AH278" s="16"/>
      <c r="AI278" s="16"/>
      <c r="AJ278" s="16"/>
      <c r="AK278" s="16"/>
      <c r="AL278" s="16"/>
      <c r="AM278" s="16"/>
    </row>
    <row r="279" spans="33:39" ht="12.75">
      <c r="AG279" s="16"/>
      <c r="AH279" s="16"/>
      <c r="AI279" s="16"/>
      <c r="AJ279" s="16"/>
      <c r="AK279" s="16"/>
      <c r="AL279" s="16"/>
      <c r="AM279" s="16"/>
    </row>
    <row r="280" spans="33:39" ht="12.75">
      <c r="AG280" s="16"/>
      <c r="AH280" s="16"/>
      <c r="AI280" s="16"/>
      <c r="AJ280" s="16"/>
      <c r="AK280" s="16"/>
      <c r="AL280" s="16"/>
      <c r="AM280" s="16"/>
    </row>
    <row r="281" spans="33:39" ht="12.75">
      <c r="AG281" s="16"/>
      <c r="AH281" s="16"/>
      <c r="AI281" s="16"/>
      <c r="AJ281" s="16"/>
      <c r="AK281" s="16"/>
      <c r="AL281" s="16"/>
      <c r="AM281" s="16"/>
    </row>
    <row r="282" spans="33:39" ht="12.75">
      <c r="AG282" s="16"/>
      <c r="AH282" s="16"/>
      <c r="AI282" s="16"/>
      <c r="AJ282" s="16"/>
      <c r="AK282" s="16"/>
      <c r="AL282" s="16"/>
      <c r="AM282" s="16"/>
    </row>
    <row r="283" spans="33:39" ht="12.75">
      <c r="AG283" s="16"/>
      <c r="AH283" s="16"/>
      <c r="AI283" s="16"/>
      <c r="AJ283" s="16"/>
      <c r="AK283" s="16"/>
      <c r="AL283" s="16"/>
      <c r="AM283" s="16"/>
    </row>
    <row r="284" spans="33:39" ht="12.75">
      <c r="AG284" s="16"/>
      <c r="AH284" s="16"/>
      <c r="AI284" s="16"/>
      <c r="AJ284" s="16"/>
      <c r="AK284" s="16"/>
      <c r="AL284" s="16"/>
      <c r="AM284" s="16"/>
    </row>
    <row r="285" spans="33:39" ht="12.75">
      <c r="AG285" s="16"/>
      <c r="AH285" s="16"/>
      <c r="AI285" s="16"/>
      <c r="AJ285" s="16"/>
      <c r="AK285" s="16"/>
      <c r="AL285" s="16"/>
      <c r="AM285" s="16"/>
    </row>
    <row r="286" spans="33:39" ht="12.75">
      <c r="AG286" s="16"/>
      <c r="AH286" s="16"/>
      <c r="AI286" s="16"/>
      <c r="AJ286" s="16"/>
      <c r="AK286" s="16"/>
      <c r="AL286" s="16"/>
      <c r="AM286" s="16"/>
    </row>
    <row r="287" spans="33:39" ht="12.75">
      <c r="AG287" s="16"/>
      <c r="AH287" s="16"/>
      <c r="AI287" s="16"/>
      <c r="AJ287" s="16"/>
      <c r="AK287" s="16"/>
      <c r="AL287" s="16"/>
      <c r="AM287" s="16"/>
    </row>
    <row r="288" spans="33:39" ht="12.75">
      <c r="AG288" s="16"/>
      <c r="AH288" s="16"/>
      <c r="AI288" s="16"/>
      <c r="AJ288" s="16"/>
      <c r="AK288" s="16"/>
      <c r="AL288" s="16"/>
      <c r="AM288" s="16"/>
    </row>
    <row r="289" spans="33:39" ht="12.75">
      <c r="AG289" s="16"/>
      <c r="AH289" s="16"/>
      <c r="AI289" s="16"/>
      <c r="AJ289" s="16"/>
      <c r="AK289" s="16"/>
      <c r="AL289" s="16"/>
      <c r="AM289" s="16"/>
    </row>
    <row r="290" spans="33:39" ht="12.75">
      <c r="AG290" s="16"/>
      <c r="AH290" s="16"/>
      <c r="AI290" s="16"/>
      <c r="AJ290" s="16"/>
      <c r="AK290" s="16"/>
      <c r="AL290" s="16"/>
      <c r="AM290" s="16"/>
    </row>
    <row r="291" spans="33:39" ht="12.75">
      <c r="AG291" s="16"/>
      <c r="AH291" s="16"/>
      <c r="AI291" s="16"/>
      <c r="AJ291" s="16"/>
      <c r="AK291" s="16"/>
      <c r="AL291" s="16"/>
      <c r="AM291" s="16"/>
    </row>
    <row r="292" spans="33:39" ht="12.75">
      <c r="AG292" s="16"/>
      <c r="AH292" s="16"/>
      <c r="AI292" s="16"/>
      <c r="AJ292" s="16"/>
      <c r="AK292" s="16"/>
      <c r="AL292" s="16"/>
      <c r="AM292" s="16"/>
    </row>
    <row r="293" spans="33:39" ht="12.75">
      <c r="AG293" s="16"/>
      <c r="AH293" s="16"/>
      <c r="AI293" s="16"/>
      <c r="AJ293" s="16"/>
      <c r="AK293" s="16"/>
      <c r="AL293" s="16"/>
      <c r="AM293" s="16"/>
    </row>
    <row r="294" spans="33:39" ht="12.75">
      <c r="AG294" s="16"/>
      <c r="AH294" s="16"/>
      <c r="AI294" s="16"/>
      <c r="AJ294" s="16"/>
      <c r="AK294" s="16"/>
      <c r="AL294" s="16"/>
      <c r="AM294" s="16"/>
    </row>
    <row r="295" spans="33:39" ht="12.75">
      <c r="AG295" s="16"/>
      <c r="AH295" s="16"/>
      <c r="AI295" s="16"/>
      <c r="AJ295" s="16"/>
      <c r="AK295" s="16"/>
      <c r="AL295" s="16"/>
      <c r="AM295" s="16"/>
    </row>
    <row r="296" spans="33:39" ht="12.75">
      <c r="AG296" s="16"/>
      <c r="AH296" s="16"/>
      <c r="AI296" s="16"/>
      <c r="AJ296" s="16"/>
      <c r="AK296" s="16"/>
      <c r="AL296" s="16"/>
      <c r="AM296" s="16"/>
    </row>
    <row r="297" spans="33:39" ht="12.75">
      <c r="AG297" s="16"/>
      <c r="AH297" s="16"/>
      <c r="AI297" s="16"/>
      <c r="AJ297" s="16"/>
      <c r="AK297" s="16"/>
      <c r="AL297" s="16"/>
      <c r="AM297" s="16"/>
    </row>
    <row r="298" spans="33:39" ht="12.75">
      <c r="AG298" s="16"/>
      <c r="AH298" s="16"/>
      <c r="AI298" s="16"/>
      <c r="AJ298" s="16"/>
      <c r="AK298" s="16"/>
      <c r="AL298" s="16"/>
      <c r="AM298" s="16"/>
    </row>
    <row r="299" spans="33:39" ht="12.75">
      <c r="AG299" s="16"/>
      <c r="AH299" s="16"/>
      <c r="AI299" s="16"/>
      <c r="AJ299" s="16"/>
      <c r="AK299" s="16"/>
      <c r="AL299" s="16"/>
      <c r="AM299" s="16"/>
    </row>
    <row r="300" spans="33:39" ht="12.75">
      <c r="AG300" s="16"/>
      <c r="AH300" s="16"/>
      <c r="AI300" s="16"/>
      <c r="AJ300" s="16"/>
      <c r="AK300" s="16"/>
      <c r="AL300" s="16"/>
      <c r="AM300" s="16"/>
    </row>
    <row r="301" spans="33:39" ht="12.75">
      <c r="AG301" s="16"/>
      <c r="AH301" s="16"/>
      <c r="AI301" s="16"/>
      <c r="AJ301" s="16"/>
      <c r="AK301" s="16"/>
      <c r="AL301" s="16"/>
      <c r="AM301" s="16"/>
    </row>
    <row r="302" spans="33:39" ht="12.75">
      <c r="AG302" s="16"/>
      <c r="AH302" s="16"/>
      <c r="AI302" s="16"/>
      <c r="AJ302" s="16"/>
      <c r="AK302" s="16"/>
      <c r="AL302" s="16"/>
      <c r="AM302" s="16"/>
    </row>
    <row r="303" spans="33:39" ht="12.75">
      <c r="AG303" s="16"/>
      <c r="AH303" s="16"/>
      <c r="AI303" s="16"/>
      <c r="AJ303" s="16"/>
      <c r="AK303" s="16"/>
      <c r="AL303" s="16"/>
      <c r="AM303" s="16"/>
    </row>
    <row r="304" spans="33:39" ht="12.75">
      <c r="AG304" s="16"/>
      <c r="AH304" s="16"/>
      <c r="AI304" s="16"/>
      <c r="AJ304" s="16"/>
      <c r="AK304" s="16"/>
      <c r="AL304" s="16"/>
      <c r="AM304" s="16"/>
    </row>
    <row r="305" spans="33:39" ht="12.75">
      <c r="AG305" s="16"/>
      <c r="AH305" s="16"/>
      <c r="AI305" s="16"/>
      <c r="AJ305" s="16"/>
      <c r="AK305" s="16"/>
      <c r="AL305" s="16"/>
      <c r="AM305" s="16"/>
    </row>
    <row r="306" spans="33:39" ht="12.75">
      <c r="AG306" s="16"/>
      <c r="AH306" s="16"/>
      <c r="AI306" s="16"/>
      <c r="AJ306" s="16"/>
      <c r="AK306" s="16"/>
      <c r="AL306" s="16"/>
      <c r="AM306" s="16"/>
    </row>
    <row r="307" spans="33:39" ht="12.75">
      <c r="AG307" s="16"/>
      <c r="AH307" s="16"/>
      <c r="AI307" s="16"/>
      <c r="AJ307" s="16"/>
      <c r="AK307" s="16"/>
      <c r="AL307" s="16"/>
      <c r="AM307" s="16"/>
    </row>
    <row r="308" spans="33:39" ht="12.75">
      <c r="AG308" s="16"/>
      <c r="AH308" s="16"/>
      <c r="AI308" s="16"/>
      <c r="AJ308" s="16"/>
      <c r="AK308" s="16"/>
      <c r="AL308" s="16"/>
      <c r="AM308" s="16"/>
    </row>
    <row r="309" spans="33:39" ht="12.75">
      <c r="AG309" s="16"/>
      <c r="AH309" s="16"/>
      <c r="AI309" s="16"/>
      <c r="AJ309" s="16"/>
      <c r="AK309" s="16"/>
      <c r="AL309" s="16"/>
      <c r="AM309" s="16"/>
    </row>
    <row r="310" spans="33:39" ht="12.75">
      <c r="AG310" s="16"/>
      <c r="AH310" s="16"/>
      <c r="AI310" s="16"/>
      <c r="AJ310" s="16"/>
      <c r="AK310" s="16"/>
      <c r="AL310" s="16"/>
      <c r="AM310" s="16"/>
    </row>
    <row r="311" spans="33:39" ht="12.75">
      <c r="AG311" s="16"/>
      <c r="AH311" s="16"/>
      <c r="AI311" s="16"/>
      <c r="AJ311" s="16"/>
      <c r="AK311" s="16"/>
      <c r="AL311" s="16"/>
      <c r="AM311" s="16"/>
    </row>
    <row r="312" spans="33:39" ht="12.75">
      <c r="AG312" s="16"/>
      <c r="AH312" s="16"/>
      <c r="AI312" s="16"/>
      <c r="AJ312" s="16"/>
      <c r="AK312" s="16"/>
      <c r="AL312" s="16"/>
      <c r="AM312" s="16"/>
    </row>
    <row r="313" spans="33:39" ht="12.75">
      <c r="AG313" s="16"/>
      <c r="AH313" s="16"/>
      <c r="AI313" s="16"/>
      <c r="AJ313" s="16"/>
      <c r="AK313" s="16"/>
      <c r="AL313" s="16"/>
      <c r="AM313" s="16"/>
    </row>
    <row r="314" spans="33:39" ht="12.75">
      <c r="AG314" s="16"/>
      <c r="AH314" s="16"/>
      <c r="AI314" s="16"/>
      <c r="AJ314" s="16"/>
      <c r="AK314" s="16"/>
      <c r="AL314" s="16"/>
      <c r="AM314" s="16"/>
    </row>
    <row r="315" spans="33:39" ht="12.75">
      <c r="AG315" s="16"/>
      <c r="AH315" s="16"/>
      <c r="AI315" s="16"/>
      <c r="AJ315" s="16"/>
      <c r="AK315" s="16"/>
      <c r="AL315" s="16"/>
      <c r="AM315" s="16"/>
    </row>
    <row r="316" spans="33:39" ht="12.75">
      <c r="AG316" s="16"/>
      <c r="AH316" s="16"/>
      <c r="AI316" s="16"/>
      <c r="AJ316" s="16"/>
      <c r="AK316" s="16"/>
      <c r="AL316" s="16"/>
      <c r="AM316" s="16"/>
    </row>
    <row r="317" spans="33:39" ht="12.75">
      <c r="AG317" s="16"/>
      <c r="AH317" s="16"/>
      <c r="AI317" s="16"/>
      <c r="AJ317" s="16"/>
      <c r="AK317" s="16"/>
      <c r="AL317" s="16"/>
      <c r="AM317" s="16"/>
    </row>
    <row r="318" spans="33:39" ht="12.75">
      <c r="AG318" s="16"/>
      <c r="AH318" s="16"/>
      <c r="AI318" s="16"/>
      <c r="AJ318" s="16"/>
      <c r="AK318" s="16"/>
      <c r="AL318" s="16"/>
      <c r="AM318" s="16"/>
    </row>
    <row r="319" spans="33:39" ht="12.75">
      <c r="AG319" s="16"/>
      <c r="AH319" s="16"/>
      <c r="AI319" s="16"/>
      <c r="AJ319" s="16"/>
      <c r="AK319" s="16"/>
      <c r="AL319" s="16"/>
      <c r="AM319" s="16"/>
    </row>
    <row r="320" spans="33:39" ht="12.75">
      <c r="AG320" s="16"/>
      <c r="AH320" s="16"/>
      <c r="AI320" s="16"/>
      <c r="AJ320" s="16"/>
      <c r="AK320" s="16"/>
      <c r="AL320" s="16"/>
      <c r="AM320" s="16"/>
    </row>
    <row r="321" spans="33:39" ht="12.75">
      <c r="AG321" s="16"/>
      <c r="AH321" s="16"/>
      <c r="AI321" s="16"/>
      <c r="AJ321" s="16"/>
      <c r="AK321" s="16"/>
      <c r="AL321" s="16"/>
      <c r="AM321" s="16"/>
    </row>
    <row r="322" spans="33:39" ht="12.75">
      <c r="AG322" s="16"/>
      <c r="AH322" s="16"/>
      <c r="AI322" s="16"/>
      <c r="AJ322" s="16"/>
      <c r="AK322" s="16"/>
      <c r="AL322" s="16"/>
      <c r="AM322" s="16"/>
    </row>
    <row r="323" spans="33:39" ht="12.75">
      <c r="AG323" s="16"/>
      <c r="AH323" s="16"/>
      <c r="AI323" s="16"/>
      <c r="AJ323" s="16"/>
      <c r="AK323" s="16"/>
      <c r="AL323" s="16"/>
      <c r="AM323" s="16"/>
    </row>
    <row r="324" spans="33:39" ht="12.75">
      <c r="AG324" s="16"/>
      <c r="AH324" s="16"/>
      <c r="AI324" s="16"/>
      <c r="AJ324" s="16"/>
      <c r="AK324" s="16"/>
      <c r="AL324" s="16"/>
      <c r="AM324" s="16"/>
    </row>
    <row r="325" spans="33:39" ht="12.75">
      <c r="AG325" s="16"/>
      <c r="AH325" s="16"/>
      <c r="AI325" s="16"/>
      <c r="AJ325" s="16"/>
      <c r="AK325" s="16"/>
      <c r="AL325" s="16"/>
      <c r="AM325" s="16"/>
    </row>
    <row r="326" spans="33:39" ht="12.75">
      <c r="AG326" s="16"/>
      <c r="AH326" s="16"/>
      <c r="AI326" s="16"/>
      <c r="AJ326" s="16"/>
      <c r="AK326" s="16"/>
      <c r="AL326" s="16"/>
      <c r="AM326" s="16"/>
    </row>
    <row r="327" spans="33:39" ht="12.75">
      <c r="AG327" s="16"/>
      <c r="AH327" s="16"/>
      <c r="AI327" s="16"/>
      <c r="AJ327" s="16"/>
      <c r="AK327" s="16"/>
      <c r="AL327" s="16"/>
      <c r="AM327" s="16"/>
    </row>
    <row r="328" spans="33:39" ht="12.75">
      <c r="AG328" s="16"/>
      <c r="AH328" s="16"/>
      <c r="AI328" s="16"/>
      <c r="AJ328" s="16"/>
      <c r="AK328" s="16"/>
      <c r="AL328" s="16"/>
      <c r="AM328" s="16"/>
    </row>
    <row r="329" spans="33:39" ht="12.75">
      <c r="AG329" s="16"/>
      <c r="AH329" s="16"/>
      <c r="AI329" s="16"/>
      <c r="AJ329" s="16"/>
      <c r="AK329" s="16"/>
      <c r="AL329" s="16"/>
      <c r="AM329" s="16"/>
    </row>
    <row r="330" spans="33:39" ht="12.75">
      <c r="AG330" s="16"/>
      <c r="AH330" s="16"/>
      <c r="AI330" s="16"/>
      <c r="AJ330" s="16"/>
      <c r="AK330" s="16"/>
      <c r="AL330" s="16"/>
      <c r="AM330" s="16"/>
    </row>
    <row r="331" spans="33:39" ht="12.75">
      <c r="AG331" s="16"/>
      <c r="AH331" s="16"/>
      <c r="AI331" s="16"/>
      <c r="AJ331" s="16"/>
      <c r="AK331" s="16"/>
      <c r="AL331" s="16"/>
      <c r="AM331" s="16"/>
    </row>
    <row r="332" spans="33:39" ht="12.75">
      <c r="AG332" s="16"/>
      <c r="AH332" s="16"/>
      <c r="AI332" s="16"/>
      <c r="AJ332" s="16"/>
      <c r="AK332" s="16"/>
      <c r="AL332" s="16"/>
      <c r="AM332" s="16"/>
    </row>
    <row r="333" spans="33:39" ht="12.75">
      <c r="AG333" s="16"/>
      <c r="AH333" s="16"/>
      <c r="AI333" s="16"/>
      <c r="AJ333" s="16"/>
      <c r="AK333" s="16"/>
      <c r="AL333" s="16"/>
      <c r="AM333" s="16"/>
    </row>
    <row r="334" spans="33:39" ht="12.75">
      <c r="AG334" s="16"/>
      <c r="AH334" s="16"/>
      <c r="AI334" s="16"/>
      <c r="AJ334" s="16"/>
      <c r="AK334" s="16"/>
      <c r="AL334" s="16"/>
      <c r="AM334" s="16"/>
    </row>
    <row r="335" spans="33:39" ht="12.75">
      <c r="AG335" s="16"/>
      <c r="AH335" s="16"/>
      <c r="AI335" s="16"/>
      <c r="AJ335" s="16"/>
      <c r="AK335" s="16"/>
      <c r="AL335" s="16"/>
      <c r="AM335" s="16"/>
    </row>
    <row r="336" spans="33:39" ht="12.75">
      <c r="AG336" s="16"/>
      <c r="AH336" s="16"/>
      <c r="AI336" s="16"/>
      <c r="AJ336" s="16"/>
      <c r="AK336" s="16"/>
      <c r="AL336" s="16"/>
      <c r="AM336" s="16"/>
    </row>
    <row r="337" spans="33:39" ht="12.75">
      <c r="AG337" s="16"/>
      <c r="AH337" s="16"/>
      <c r="AI337" s="16"/>
      <c r="AJ337" s="16"/>
      <c r="AK337" s="16"/>
      <c r="AL337" s="16"/>
      <c r="AM337" s="16"/>
    </row>
    <row r="338" spans="33:39" ht="12.75">
      <c r="AG338" s="16"/>
      <c r="AH338" s="16"/>
      <c r="AI338" s="16"/>
      <c r="AJ338" s="16"/>
      <c r="AK338" s="16"/>
      <c r="AL338" s="16"/>
      <c r="AM338" s="16"/>
    </row>
    <row r="339" spans="33:39" ht="12.75">
      <c r="AG339" s="16"/>
      <c r="AH339" s="16"/>
      <c r="AI339" s="16"/>
      <c r="AJ339" s="16"/>
      <c r="AK339" s="16"/>
      <c r="AL339" s="16"/>
      <c r="AM339" s="16"/>
    </row>
    <row r="340" spans="33:39" ht="12.75">
      <c r="AG340" s="16"/>
      <c r="AH340" s="16"/>
      <c r="AI340" s="16"/>
      <c r="AJ340" s="16"/>
      <c r="AK340" s="16"/>
      <c r="AL340" s="16"/>
      <c r="AM340" s="16"/>
    </row>
    <row r="341" spans="33:39" ht="12.75">
      <c r="AG341" s="16"/>
      <c r="AH341" s="16"/>
      <c r="AI341" s="16"/>
      <c r="AJ341" s="16"/>
      <c r="AK341" s="16"/>
      <c r="AL341" s="16"/>
      <c r="AM341" s="16"/>
    </row>
    <row r="342" spans="33:39" ht="12.75">
      <c r="AG342" s="16"/>
      <c r="AH342" s="16"/>
      <c r="AI342" s="16"/>
      <c r="AJ342" s="16"/>
      <c r="AK342" s="16"/>
      <c r="AL342" s="16"/>
      <c r="AM342" s="16"/>
    </row>
    <row r="343" spans="33:39" ht="12.75">
      <c r="AG343" s="16"/>
      <c r="AH343" s="16"/>
      <c r="AI343" s="16"/>
      <c r="AJ343" s="16"/>
      <c r="AK343" s="16"/>
      <c r="AL343" s="16"/>
      <c r="AM343" s="16"/>
    </row>
    <row r="344" spans="33:39" ht="12.75">
      <c r="AG344" s="16"/>
      <c r="AH344" s="16"/>
      <c r="AI344" s="16"/>
      <c r="AJ344" s="16"/>
      <c r="AK344" s="16"/>
      <c r="AL344" s="16"/>
      <c r="AM344" s="16"/>
    </row>
    <row r="345" spans="33:39" ht="12.75">
      <c r="AG345" s="16"/>
      <c r="AH345" s="16"/>
      <c r="AI345" s="16"/>
      <c r="AJ345" s="16"/>
      <c r="AK345" s="16"/>
      <c r="AL345" s="16"/>
      <c r="AM345" s="16"/>
    </row>
    <row r="346" spans="33:39" ht="12.75">
      <c r="AG346" s="16"/>
      <c r="AH346" s="16"/>
      <c r="AI346" s="16"/>
      <c r="AJ346" s="16"/>
      <c r="AK346" s="16"/>
      <c r="AL346" s="16"/>
      <c r="AM346" s="16"/>
    </row>
    <row r="347" spans="33:39" ht="12.75">
      <c r="AG347" s="16"/>
      <c r="AH347" s="16"/>
      <c r="AI347" s="16"/>
      <c r="AJ347" s="16"/>
      <c r="AK347" s="16"/>
      <c r="AL347" s="16"/>
      <c r="AM347" s="16"/>
    </row>
    <row r="348" spans="33:39" ht="12.75">
      <c r="AG348" s="16"/>
      <c r="AH348" s="16"/>
      <c r="AI348" s="16"/>
      <c r="AJ348" s="16"/>
      <c r="AK348" s="16"/>
      <c r="AL348" s="16"/>
      <c r="AM348" s="16"/>
    </row>
    <row r="349" spans="33:39" ht="12.75">
      <c r="AG349" s="16"/>
      <c r="AH349" s="16"/>
      <c r="AI349" s="16"/>
      <c r="AJ349" s="16"/>
      <c r="AK349" s="16"/>
      <c r="AL349" s="16"/>
      <c r="AM349" s="16"/>
    </row>
    <row r="350" spans="33:39" ht="12.75">
      <c r="AG350" s="16"/>
      <c r="AH350" s="16"/>
      <c r="AI350" s="16"/>
      <c r="AJ350" s="16"/>
      <c r="AK350" s="16"/>
      <c r="AL350" s="16"/>
      <c r="AM350" s="16"/>
    </row>
    <row r="351" spans="33:39" ht="12.75">
      <c r="AG351" s="16"/>
      <c r="AH351" s="16"/>
      <c r="AI351" s="16"/>
      <c r="AJ351" s="16"/>
      <c r="AK351" s="16"/>
      <c r="AL351" s="16"/>
      <c r="AM351" s="16"/>
    </row>
    <row r="352" spans="33:39" ht="12.75">
      <c r="AG352" s="16"/>
      <c r="AH352" s="16"/>
      <c r="AI352" s="16"/>
      <c r="AJ352" s="16"/>
      <c r="AK352" s="16"/>
      <c r="AL352" s="16"/>
      <c r="AM352" s="16"/>
    </row>
    <row r="353" spans="33:39" ht="12.75">
      <c r="AG353" s="16"/>
      <c r="AH353" s="16"/>
      <c r="AI353" s="16"/>
      <c r="AJ353" s="16"/>
      <c r="AK353" s="16"/>
      <c r="AL353" s="16"/>
      <c r="AM353" s="16"/>
    </row>
    <row r="354" spans="33:39" ht="12.75">
      <c r="AG354" s="16"/>
      <c r="AH354" s="16"/>
      <c r="AI354" s="16"/>
      <c r="AJ354" s="16"/>
      <c r="AK354" s="16"/>
      <c r="AL354" s="16"/>
      <c r="AM354" s="16"/>
    </row>
    <row r="355" spans="33:39" ht="12.75">
      <c r="AG355" s="16"/>
      <c r="AH355" s="16"/>
      <c r="AI355" s="16"/>
      <c r="AJ355" s="16"/>
      <c r="AK355" s="16"/>
      <c r="AL355" s="16"/>
      <c r="AM355" s="16"/>
    </row>
    <row r="356" spans="33:39" ht="12.75">
      <c r="AG356" s="16"/>
      <c r="AH356" s="16"/>
      <c r="AI356" s="16"/>
      <c r="AJ356" s="16"/>
      <c r="AK356" s="16"/>
      <c r="AL356" s="16"/>
      <c r="AM356" s="16"/>
    </row>
    <row r="357" spans="33:39" ht="12.75">
      <c r="AG357" s="16"/>
      <c r="AH357" s="16"/>
      <c r="AI357" s="16"/>
      <c r="AJ357" s="16"/>
      <c r="AK357" s="16"/>
      <c r="AL357" s="16"/>
      <c r="AM357" s="16"/>
    </row>
    <row r="358" spans="33:39" ht="12.75">
      <c r="AG358" s="16"/>
      <c r="AH358" s="16"/>
      <c r="AI358" s="16"/>
      <c r="AJ358" s="16"/>
      <c r="AK358" s="16"/>
      <c r="AL358" s="16"/>
      <c r="AM358" s="16"/>
    </row>
    <row r="359" spans="33:39" ht="12.75">
      <c r="AG359" s="16"/>
      <c r="AH359" s="16"/>
      <c r="AI359" s="16"/>
      <c r="AJ359" s="16"/>
      <c r="AK359" s="16"/>
      <c r="AL359" s="16"/>
      <c r="AM359" s="16"/>
    </row>
    <row r="360" spans="33:39" ht="12.75">
      <c r="AG360" s="16"/>
      <c r="AH360" s="16"/>
      <c r="AI360" s="16"/>
      <c r="AJ360" s="16"/>
      <c r="AK360" s="16"/>
      <c r="AL360" s="16"/>
      <c r="AM360" s="16"/>
    </row>
    <row r="361" spans="33:39" ht="12.75">
      <c r="AG361" s="16"/>
      <c r="AH361" s="16"/>
      <c r="AI361" s="16"/>
      <c r="AJ361" s="16"/>
      <c r="AK361" s="16"/>
      <c r="AL361" s="16"/>
      <c r="AM361" s="16"/>
    </row>
    <row r="362" spans="33:39" ht="12.75">
      <c r="AG362" s="16"/>
      <c r="AH362" s="16"/>
      <c r="AI362" s="16"/>
      <c r="AJ362" s="16"/>
      <c r="AK362" s="16"/>
      <c r="AL362" s="16"/>
      <c r="AM362" s="16"/>
    </row>
    <row r="363" spans="33:39" ht="12.75">
      <c r="AG363" s="16"/>
      <c r="AH363" s="16"/>
      <c r="AI363" s="16"/>
      <c r="AJ363" s="16"/>
      <c r="AK363" s="16"/>
      <c r="AL363" s="16"/>
      <c r="AM363" s="16"/>
    </row>
    <row r="364" spans="33:39" ht="12.75">
      <c r="AG364" s="16"/>
      <c r="AH364" s="16"/>
      <c r="AI364" s="16"/>
      <c r="AJ364" s="16"/>
      <c r="AK364" s="16"/>
      <c r="AL364" s="16"/>
      <c r="AM364" s="16"/>
    </row>
    <row r="365" spans="33:39" ht="12.75">
      <c r="AG365" s="16"/>
      <c r="AH365" s="16"/>
      <c r="AI365" s="16"/>
      <c r="AJ365" s="16"/>
      <c r="AK365" s="16"/>
      <c r="AL365" s="16"/>
      <c r="AM365" s="16"/>
    </row>
    <row r="366" spans="33:39" ht="12.75">
      <c r="AG366" s="16"/>
      <c r="AH366" s="16"/>
      <c r="AI366" s="16"/>
      <c r="AJ366" s="16"/>
      <c r="AK366" s="16"/>
      <c r="AL366" s="16"/>
      <c r="AM366" s="16"/>
    </row>
    <row r="367" spans="33:39" ht="12.75">
      <c r="AG367" s="16"/>
      <c r="AH367" s="16"/>
      <c r="AI367" s="16"/>
      <c r="AJ367" s="16"/>
      <c r="AK367" s="16"/>
      <c r="AL367" s="16"/>
      <c r="AM367" s="16"/>
    </row>
    <row r="368" spans="33:39" ht="12.75">
      <c r="AG368" s="16"/>
      <c r="AH368" s="16"/>
      <c r="AI368" s="16"/>
      <c r="AJ368" s="16"/>
      <c r="AK368" s="16"/>
      <c r="AL368" s="16"/>
      <c r="AM368" s="16"/>
    </row>
    <row r="369" spans="33:39" ht="12.75">
      <c r="AG369" s="16"/>
      <c r="AH369" s="16"/>
      <c r="AI369" s="16"/>
      <c r="AJ369" s="16"/>
      <c r="AK369" s="16"/>
      <c r="AL369" s="16"/>
      <c r="AM369" s="16"/>
    </row>
    <row r="370" spans="33:39" ht="12.75">
      <c r="AG370" s="16"/>
      <c r="AH370" s="16"/>
      <c r="AI370" s="16"/>
      <c r="AJ370" s="16"/>
      <c r="AK370" s="16"/>
      <c r="AL370" s="16"/>
      <c r="AM370" s="16"/>
    </row>
    <row r="371" spans="33:39" ht="12.75">
      <c r="AG371" s="16"/>
      <c r="AH371" s="16"/>
      <c r="AI371" s="16"/>
      <c r="AJ371" s="16"/>
      <c r="AK371" s="16"/>
      <c r="AL371" s="16"/>
      <c r="AM371" s="16"/>
    </row>
    <row r="372" spans="33:39" ht="12.75">
      <c r="AG372" s="16"/>
      <c r="AH372" s="16"/>
      <c r="AI372" s="16"/>
      <c r="AJ372" s="16"/>
      <c r="AK372" s="16"/>
      <c r="AL372" s="16"/>
      <c r="AM372" s="16"/>
    </row>
    <row r="373" spans="33:39" ht="12.75">
      <c r="AG373" s="16"/>
      <c r="AH373" s="16"/>
      <c r="AI373" s="16"/>
      <c r="AJ373" s="16"/>
      <c r="AK373" s="16"/>
      <c r="AL373" s="16"/>
      <c r="AM373" s="16"/>
    </row>
    <row r="374" spans="33:39" ht="12.75">
      <c r="AG374" s="16"/>
      <c r="AH374" s="16"/>
      <c r="AI374" s="16"/>
      <c r="AJ374" s="16"/>
      <c r="AK374" s="16"/>
      <c r="AL374" s="16"/>
      <c r="AM374" s="16"/>
    </row>
    <row r="375" spans="33:39" ht="12.75">
      <c r="AG375" s="16"/>
      <c r="AH375" s="16"/>
      <c r="AI375" s="16"/>
      <c r="AJ375" s="16"/>
      <c r="AK375" s="16"/>
      <c r="AL375" s="16"/>
      <c r="AM375" s="16"/>
    </row>
    <row r="376" spans="33:39" ht="12.75">
      <c r="AG376" s="16"/>
      <c r="AH376" s="16"/>
      <c r="AI376" s="16"/>
      <c r="AJ376" s="16"/>
      <c r="AK376" s="16"/>
      <c r="AL376" s="16"/>
      <c r="AM376" s="16"/>
    </row>
    <row r="377" spans="33:39" ht="12.75">
      <c r="AG377" s="16"/>
      <c r="AH377" s="16"/>
      <c r="AI377" s="16"/>
      <c r="AJ377" s="16"/>
      <c r="AK377" s="16"/>
      <c r="AL377" s="16"/>
      <c r="AM377" s="16"/>
    </row>
    <row r="378" spans="33:39" ht="12.75">
      <c r="AG378" s="16"/>
      <c r="AH378" s="16"/>
      <c r="AI378" s="16"/>
      <c r="AJ378" s="16"/>
      <c r="AK378" s="16"/>
      <c r="AL378" s="16"/>
      <c r="AM378" s="16"/>
    </row>
    <row r="379" spans="33:39" ht="12.75">
      <c r="AG379" s="16"/>
      <c r="AH379" s="16"/>
      <c r="AI379" s="16"/>
      <c r="AJ379" s="16"/>
      <c r="AK379" s="16"/>
      <c r="AL379" s="16"/>
      <c r="AM379" s="16"/>
    </row>
    <row r="380" spans="33:39" ht="12.75">
      <c r="AG380" s="16"/>
      <c r="AH380" s="16"/>
      <c r="AI380" s="16"/>
      <c r="AJ380" s="16"/>
      <c r="AK380" s="16"/>
      <c r="AL380" s="16"/>
      <c r="AM380" s="16"/>
    </row>
    <row r="381" spans="33:39" ht="12.75">
      <c r="AG381" s="16"/>
      <c r="AH381" s="16"/>
      <c r="AI381" s="16"/>
      <c r="AJ381" s="16"/>
      <c r="AK381" s="16"/>
      <c r="AL381" s="16"/>
      <c r="AM381" s="16"/>
    </row>
    <row r="382" spans="33:39" ht="12.75">
      <c r="AG382" s="16"/>
      <c r="AH382" s="16"/>
      <c r="AI382" s="16"/>
      <c r="AJ382" s="16"/>
      <c r="AK382" s="16"/>
      <c r="AL382" s="16"/>
      <c r="AM382" s="16"/>
    </row>
    <row r="383" spans="33:39" ht="12.75">
      <c r="AG383" s="16"/>
      <c r="AH383" s="16"/>
      <c r="AI383" s="16"/>
      <c r="AJ383" s="16"/>
      <c r="AK383" s="16"/>
      <c r="AL383" s="16"/>
      <c r="AM383" s="16"/>
    </row>
    <row r="384" spans="33:39" ht="12.75">
      <c r="AG384" s="16"/>
      <c r="AH384" s="16"/>
      <c r="AI384" s="16"/>
      <c r="AJ384" s="16"/>
      <c r="AK384" s="16"/>
      <c r="AL384" s="16"/>
      <c r="AM384" s="16"/>
    </row>
    <row r="385" spans="33:39" ht="12.75">
      <c r="AG385" s="16"/>
      <c r="AH385" s="16"/>
      <c r="AI385" s="16"/>
      <c r="AJ385" s="16"/>
      <c r="AK385" s="16"/>
      <c r="AL385" s="16"/>
      <c r="AM385" s="16"/>
    </row>
    <row r="386" spans="33:39" ht="12.75">
      <c r="AG386" s="16"/>
      <c r="AH386" s="16"/>
      <c r="AI386" s="16"/>
      <c r="AJ386" s="16"/>
      <c r="AK386" s="16"/>
      <c r="AL386" s="16"/>
      <c r="AM386" s="16"/>
    </row>
    <row r="387" spans="33:39" ht="12.75">
      <c r="AG387" s="16"/>
      <c r="AH387" s="16"/>
      <c r="AI387" s="16"/>
      <c r="AJ387" s="16"/>
      <c r="AK387" s="16"/>
      <c r="AL387" s="16"/>
      <c r="AM387" s="16"/>
    </row>
    <row r="388" spans="33:39" ht="12.75">
      <c r="AG388" s="16"/>
      <c r="AH388" s="16"/>
      <c r="AI388" s="16"/>
      <c r="AJ388" s="16"/>
      <c r="AK388" s="16"/>
      <c r="AL388" s="16"/>
      <c r="AM388" s="16"/>
    </row>
    <row r="389" spans="33:39" ht="12.75">
      <c r="AG389" s="16"/>
      <c r="AH389" s="16"/>
      <c r="AI389" s="16"/>
      <c r="AJ389" s="16"/>
      <c r="AK389" s="16"/>
      <c r="AL389" s="16"/>
      <c r="AM389" s="16"/>
    </row>
    <row r="390" spans="33:39" ht="12.75">
      <c r="AG390" s="16"/>
      <c r="AH390" s="16"/>
      <c r="AI390" s="16"/>
      <c r="AJ390" s="16"/>
      <c r="AK390" s="16"/>
      <c r="AL390" s="16"/>
      <c r="AM390" s="16"/>
    </row>
    <row r="391" spans="33:39" ht="12.75">
      <c r="AG391" s="16"/>
      <c r="AH391" s="16"/>
      <c r="AI391" s="16"/>
      <c r="AJ391" s="16"/>
      <c r="AK391" s="16"/>
      <c r="AL391" s="16"/>
      <c r="AM391" s="16"/>
    </row>
    <row r="392" spans="33:39" ht="12.75">
      <c r="AG392" s="16"/>
      <c r="AH392" s="16"/>
      <c r="AI392" s="16"/>
      <c r="AJ392" s="16"/>
      <c r="AK392" s="16"/>
      <c r="AL392" s="16"/>
      <c r="AM392" s="16"/>
    </row>
    <row r="393" spans="33:39" ht="12.75">
      <c r="AG393" s="16"/>
      <c r="AH393" s="16"/>
      <c r="AI393" s="16"/>
      <c r="AJ393" s="16"/>
      <c r="AK393" s="16"/>
      <c r="AL393" s="16"/>
      <c r="AM393" s="16"/>
    </row>
    <row r="394" spans="33:39" ht="12.75">
      <c r="AG394" s="16"/>
      <c r="AH394" s="16"/>
      <c r="AI394" s="16"/>
      <c r="AJ394" s="16"/>
      <c r="AK394" s="16"/>
      <c r="AL394" s="16"/>
      <c r="AM394" s="16"/>
    </row>
    <row r="395" spans="33:39" ht="12.75">
      <c r="AG395" s="16"/>
      <c r="AH395" s="16"/>
      <c r="AI395" s="16"/>
      <c r="AJ395" s="16"/>
      <c r="AK395" s="16"/>
      <c r="AL395" s="16"/>
      <c r="AM395" s="16"/>
    </row>
    <row r="396" spans="33:39" ht="12.75">
      <c r="AG396" s="16"/>
      <c r="AH396" s="16"/>
      <c r="AI396" s="16"/>
      <c r="AJ396" s="16"/>
      <c r="AK396" s="16"/>
      <c r="AL396" s="16"/>
      <c r="AM396" s="16"/>
    </row>
    <row r="397" spans="33:39" ht="12.75">
      <c r="AG397" s="16"/>
      <c r="AH397" s="16"/>
      <c r="AI397" s="16"/>
      <c r="AJ397" s="16"/>
      <c r="AK397" s="16"/>
      <c r="AL397" s="16"/>
      <c r="AM397" s="16"/>
    </row>
    <row r="398" spans="33:39" ht="12.75">
      <c r="AG398" s="16"/>
      <c r="AH398" s="16"/>
      <c r="AI398" s="16"/>
      <c r="AJ398" s="16"/>
      <c r="AK398" s="16"/>
      <c r="AL398" s="16"/>
      <c r="AM398" s="16"/>
    </row>
    <row r="399" spans="33:39" ht="12.75">
      <c r="AG399" s="16"/>
      <c r="AH399" s="16"/>
      <c r="AI399" s="16"/>
      <c r="AJ399" s="16"/>
      <c r="AK399" s="16"/>
      <c r="AL399" s="16"/>
      <c r="AM399" s="16"/>
    </row>
    <row r="400" spans="33:39" ht="12.75">
      <c r="AG400" s="16"/>
      <c r="AH400" s="16"/>
      <c r="AI400" s="16"/>
      <c r="AJ400" s="16"/>
      <c r="AK400" s="16"/>
      <c r="AL400" s="16"/>
      <c r="AM400" s="16"/>
    </row>
    <row r="401" spans="33:39" ht="12.75">
      <c r="AG401" s="16"/>
      <c r="AH401" s="16"/>
      <c r="AI401" s="16"/>
      <c r="AJ401" s="16"/>
      <c r="AK401" s="16"/>
      <c r="AL401" s="16"/>
      <c r="AM401" s="16"/>
    </row>
    <row r="402" spans="33:39" ht="12.75">
      <c r="AG402" s="16"/>
      <c r="AH402" s="16"/>
      <c r="AI402" s="16"/>
      <c r="AJ402" s="16"/>
      <c r="AK402" s="16"/>
      <c r="AL402" s="16"/>
      <c r="AM402" s="16"/>
    </row>
    <row r="403" spans="33:39" ht="12.75">
      <c r="AG403" s="16"/>
      <c r="AH403" s="16"/>
      <c r="AI403" s="16"/>
      <c r="AJ403" s="16"/>
      <c r="AK403" s="16"/>
      <c r="AL403" s="16"/>
      <c r="AM403" s="16"/>
    </row>
    <row r="404" spans="33:39" ht="12.75">
      <c r="AG404" s="16"/>
      <c r="AH404" s="16"/>
      <c r="AI404" s="16"/>
      <c r="AJ404" s="16"/>
      <c r="AK404" s="16"/>
      <c r="AL404" s="16"/>
      <c r="AM404" s="16"/>
    </row>
    <row r="405" spans="33:39" ht="12.75">
      <c r="AG405" s="16"/>
      <c r="AH405" s="16"/>
      <c r="AI405" s="16"/>
      <c r="AJ405" s="16"/>
      <c r="AK405" s="16"/>
      <c r="AL405" s="16"/>
      <c r="AM405" s="16"/>
    </row>
    <row r="406" spans="33:39" ht="12.75">
      <c r="AG406" s="16"/>
      <c r="AH406" s="16"/>
      <c r="AI406" s="16"/>
      <c r="AJ406" s="16"/>
      <c r="AK406" s="16"/>
      <c r="AL406" s="16"/>
      <c r="AM406" s="16"/>
    </row>
    <row r="407" spans="33:39" ht="12.75">
      <c r="AG407" s="16"/>
      <c r="AH407" s="16"/>
      <c r="AI407" s="16"/>
      <c r="AJ407" s="16"/>
      <c r="AK407" s="16"/>
      <c r="AL407" s="16"/>
      <c r="AM407" s="16"/>
    </row>
    <row r="408" spans="33:39" ht="12.75">
      <c r="AG408" s="16"/>
      <c r="AH408" s="16"/>
      <c r="AI408" s="16"/>
      <c r="AJ408" s="16"/>
      <c r="AK408" s="16"/>
      <c r="AL408" s="16"/>
      <c r="AM408" s="16"/>
    </row>
    <row r="409" spans="33:39" ht="12.75">
      <c r="AG409" s="16"/>
      <c r="AH409" s="16"/>
      <c r="AI409" s="16"/>
      <c r="AJ409" s="16"/>
      <c r="AK409" s="16"/>
      <c r="AL409" s="16"/>
      <c r="AM409" s="16"/>
    </row>
    <row r="410" spans="33:39" ht="12.75">
      <c r="AG410" s="16"/>
      <c r="AH410" s="16"/>
      <c r="AI410" s="16"/>
      <c r="AJ410" s="16"/>
      <c r="AK410" s="16"/>
      <c r="AL410" s="16"/>
      <c r="AM410" s="16"/>
    </row>
    <row r="411" spans="33:39" ht="12.75">
      <c r="AG411" s="16"/>
      <c r="AH411" s="16"/>
      <c r="AI411" s="16"/>
      <c r="AJ411" s="16"/>
      <c r="AK411" s="16"/>
      <c r="AL411" s="16"/>
      <c r="AM411" s="16"/>
    </row>
    <row r="412" spans="33:39" ht="12.75">
      <c r="AG412" s="16"/>
      <c r="AH412" s="16"/>
      <c r="AI412" s="16"/>
      <c r="AJ412" s="16"/>
      <c r="AK412" s="16"/>
      <c r="AL412" s="16"/>
      <c r="AM412" s="16"/>
    </row>
    <row r="413" spans="33:39" ht="12.75">
      <c r="AG413" s="16"/>
      <c r="AH413" s="16"/>
      <c r="AI413" s="16"/>
      <c r="AJ413" s="16"/>
      <c r="AK413" s="16"/>
      <c r="AL413" s="16"/>
      <c r="AM413" s="16"/>
    </row>
    <row r="414" spans="33:39" ht="12.75">
      <c r="AG414" s="16"/>
      <c r="AH414" s="16"/>
      <c r="AI414" s="16"/>
      <c r="AJ414" s="16"/>
      <c r="AK414" s="16"/>
      <c r="AL414" s="16"/>
      <c r="AM414" s="16"/>
    </row>
    <row r="415" spans="33:39" ht="12.75">
      <c r="AG415" s="16"/>
      <c r="AH415" s="16"/>
      <c r="AI415" s="16"/>
      <c r="AJ415" s="16"/>
      <c r="AK415" s="16"/>
      <c r="AL415" s="16"/>
      <c r="AM415" s="16"/>
    </row>
    <row r="416" spans="33:39" ht="12.75">
      <c r="AG416" s="16"/>
      <c r="AH416" s="16"/>
      <c r="AI416" s="16"/>
      <c r="AJ416" s="16"/>
      <c r="AK416" s="16"/>
      <c r="AL416" s="16"/>
      <c r="AM416" s="16"/>
    </row>
    <row r="417" spans="33:39" ht="12.75">
      <c r="AG417" s="16"/>
      <c r="AH417" s="16"/>
      <c r="AI417" s="16"/>
      <c r="AJ417" s="16"/>
      <c r="AK417" s="16"/>
      <c r="AL417" s="16"/>
      <c r="AM417" s="16"/>
    </row>
    <row r="418" spans="33:39" ht="12.75">
      <c r="AG418" s="16"/>
      <c r="AH418" s="16"/>
      <c r="AI418" s="16"/>
      <c r="AJ418" s="16"/>
      <c r="AK418" s="16"/>
      <c r="AL418" s="16"/>
      <c r="AM418" s="16"/>
    </row>
    <row r="419" spans="33:39" ht="12.75">
      <c r="AG419" s="16"/>
      <c r="AH419" s="16"/>
      <c r="AI419" s="16"/>
      <c r="AJ419" s="16"/>
      <c r="AK419" s="16"/>
      <c r="AL419" s="16"/>
      <c r="AM419" s="16"/>
    </row>
    <row r="420" spans="33:39" ht="12.75">
      <c r="AG420" s="16"/>
      <c r="AH420" s="16"/>
      <c r="AI420" s="16"/>
      <c r="AJ420" s="16"/>
      <c r="AK420" s="16"/>
      <c r="AL420" s="16"/>
      <c r="AM420" s="16"/>
    </row>
    <row r="421" spans="33:39" ht="12.75">
      <c r="AG421" s="16"/>
      <c r="AH421" s="16"/>
      <c r="AI421" s="16"/>
      <c r="AJ421" s="16"/>
      <c r="AK421" s="16"/>
      <c r="AL421" s="16"/>
      <c r="AM421" s="16"/>
    </row>
    <row r="422" spans="33:39" ht="12.75">
      <c r="AG422" s="16"/>
      <c r="AH422" s="16"/>
      <c r="AI422" s="16"/>
      <c r="AJ422" s="16"/>
      <c r="AK422" s="16"/>
      <c r="AL422" s="16"/>
      <c r="AM422" s="16"/>
    </row>
    <row r="423" spans="33:39" ht="12.75">
      <c r="AG423" s="16"/>
      <c r="AH423" s="16"/>
      <c r="AI423" s="16"/>
      <c r="AJ423" s="16"/>
      <c r="AK423" s="16"/>
      <c r="AL423" s="16"/>
      <c r="AM423" s="16"/>
    </row>
    <row r="424" spans="33:39" ht="12.75">
      <c r="AG424" s="16"/>
      <c r="AH424" s="16"/>
      <c r="AI424" s="16"/>
      <c r="AJ424" s="16"/>
      <c r="AK424" s="16"/>
      <c r="AL424" s="16"/>
      <c r="AM424" s="16"/>
    </row>
    <row r="425" spans="33:39" ht="12.75">
      <c r="AG425" s="16"/>
      <c r="AH425" s="16"/>
      <c r="AI425" s="16"/>
      <c r="AJ425" s="16"/>
      <c r="AK425" s="16"/>
      <c r="AL425" s="16"/>
      <c r="AM425" s="16"/>
    </row>
    <row r="426" spans="33:39" ht="12.75">
      <c r="AG426" s="16"/>
      <c r="AH426" s="16"/>
      <c r="AI426" s="16"/>
      <c r="AJ426" s="16"/>
      <c r="AK426" s="16"/>
      <c r="AL426" s="16"/>
      <c r="AM426" s="16"/>
    </row>
    <row r="427" spans="33:39" ht="12.75">
      <c r="AG427" s="16"/>
      <c r="AH427" s="16"/>
      <c r="AI427" s="16"/>
      <c r="AJ427" s="16"/>
      <c r="AK427" s="16"/>
      <c r="AL427" s="16"/>
      <c r="AM427" s="16"/>
    </row>
    <row r="428" spans="33:39" ht="12.75">
      <c r="AG428" s="16"/>
      <c r="AH428" s="16"/>
      <c r="AI428" s="16"/>
      <c r="AJ428" s="16"/>
      <c r="AK428" s="16"/>
      <c r="AL428" s="16"/>
      <c r="AM428" s="16"/>
    </row>
    <row r="429" spans="33:39" ht="12.75">
      <c r="AG429" s="16"/>
      <c r="AH429" s="16"/>
      <c r="AI429" s="16"/>
      <c r="AJ429" s="16"/>
      <c r="AK429" s="16"/>
      <c r="AL429" s="16"/>
      <c r="AM429" s="16"/>
    </row>
    <row r="430" spans="33:39" ht="12.75">
      <c r="AG430" s="16"/>
      <c r="AH430" s="16"/>
      <c r="AI430" s="16"/>
      <c r="AJ430" s="16"/>
      <c r="AK430" s="16"/>
      <c r="AL430" s="16"/>
      <c r="AM430" s="16"/>
    </row>
    <row r="431" spans="33:39" ht="12.75">
      <c r="AG431" s="16"/>
      <c r="AH431" s="16"/>
      <c r="AI431" s="16"/>
      <c r="AJ431" s="16"/>
      <c r="AK431" s="16"/>
      <c r="AL431" s="16"/>
      <c r="AM431" s="16"/>
    </row>
    <row r="432" spans="33:39" ht="12.75">
      <c r="AG432" s="16"/>
      <c r="AH432" s="16"/>
      <c r="AI432" s="16"/>
      <c r="AJ432" s="16"/>
      <c r="AK432" s="16"/>
      <c r="AL432" s="16"/>
      <c r="AM432" s="16"/>
    </row>
    <row r="433" spans="33:39" ht="12.75">
      <c r="AG433" s="16"/>
      <c r="AH433" s="16"/>
      <c r="AI433" s="16"/>
      <c r="AJ433" s="16"/>
      <c r="AK433" s="16"/>
      <c r="AL433" s="16"/>
      <c r="AM433" s="16"/>
    </row>
    <row r="434" spans="33:39" ht="12.75">
      <c r="AG434" s="16"/>
      <c r="AH434" s="16"/>
      <c r="AI434" s="16"/>
      <c r="AJ434" s="16"/>
      <c r="AK434" s="16"/>
      <c r="AL434" s="16"/>
      <c r="AM434" s="16"/>
    </row>
    <row r="435" spans="33:39" ht="12.75">
      <c r="AG435" s="16"/>
      <c r="AH435" s="16"/>
      <c r="AI435" s="16"/>
      <c r="AJ435" s="16"/>
      <c r="AK435" s="16"/>
      <c r="AL435" s="16"/>
      <c r="AM435" s="16"/>
    </row>
    <row r="436" spans="33:39" ht="12.75">
      <c r="AG436" s="16"/>
      <c r="AH436" s="16"/>
      <c r="AI436" s="16"/>
      <c r="AJ436" s="16"/>
      <c r="AK436" s="16"/>
      <c r="AL436" s="16"/>
      <c r="AM436" s="16"/>
    </row>
    <row r="437" spans="33:39" ht="12.75">
      <c r="AG437" s="16"/>
      <c r="AH437" s="16"/>
      <c r="AI437" s="16"/>
      <c r="AJ437" s="16"/>
      <c r="AK437" s="16"/>
      <c r="AL437" s="16"/>
      <c r="AM437" s="16"/>
    </row>
    <row r="438" spans="33:39" ht="12.75">
      <c r="AG438" s="16"/>
      <c r="AH438" s="16"/>
      <c r="AI438" s="16"/>
      <c r="AJ438" s="16"/>
      <c r="AK438" s="16"/>
      <c r="AL438" s="16"/>
      <c r="AM438" s="16"/>
    </row>
    <row r="439" spans="33:39" ht="12.75">
      <c r="AG439" s="16"/>
      <c r="AH439" s="16"/>
      <c r="AI439" s="16"/>
      <c r="AJ439" s="16"/>
      <c r="AK439" s="16"/>
      <c r="AL439" s="16"/>
      <c r="AM439" s="16"/>
    </row>
    <row r="440" spans="33:39" ht="12.75">
      <c r="AG440" s="16"/>
      <c r="AH440" s="16"/>
      <c r="AI440" s="16"/>
      <c r="AJ440" s="16"/>
      <c r="AK440" s="16"/>
      <c r="AL440" s="16"/>
      <c r="AM440" s="16"/>
    </row>
    <row r="441" spans="33:39" ht="12.75">
      <c r="AG441" s="16"/>
      <c r="AH441" s="16"/>
      <c r="AI441" s="16"/>
      <c r="AJ441" s="16"/>
      <c r="AK441" s="16"/>
      <c r="AL441" s="16"/>
      <c r="AM441" s="16"/>
    </row>
    <row r="442" spans="33:39" ht="12.75">
      <c r="AG442" s="16"/>
      <c r="AH442" s="16"/>
      <c r="AI442" s="16"/>
      <c r="AJ442" s="16"/>
      <c r="AK442" s="16"/>
      <c r="AL442" s="16"/>
      <c r="AM442" s="16"/>
    </row>
    <row r="443" spans="33:39" ht="12.75">
      <c r="AG443" s="16"/>
      <c r="AH443" s="16"/>
      <c r="AI443" s="16"/>
      <c r="AJ443" s="16"/>
      <c r="AK443" s="16"/>
      <c r="AL443" s="16"/>
      <c r="AM443" s="16"/>
    </row>
    <row r="444" spans="33:39" ht="12.75">
      <c r="AG444" s="16"/>
      <c r="AH444" s="16"/>
      <c r="AI444" s="16"/>
      <c r="AJ444" s="16"/>
      <c r="AK444" s="16"/>
      <c r="AL444" s="16"/>
      <c r="AM444" s="16"/>
    </row>
    <row r="445" spans="33:39" ht="12.75">
      <c r="AG445" s="16"/>
      <c r="AH445" s="16"/>
      <c r="AI445" s="16"/>
      <c r="AJ445" s="16"/>
      <c r="AK445" s="16"/>
      <c r="AL445" s="16"/>
      <c r="AM445" s="16"/>
    </row>
    <row r="446" spans="33:39" ht="12.75">
      <c r="AG446" s="16"/>
      <c r="AH446" s="16"/>
      <c r="AI446" s="16"/>
      <c r="AJ446" s="16"/>
      <c r="AK446" s="16"/>
      <c r="AL446" s="16"/>
      <c r="AM446" s="16"/>
    </row>
    <row r="447" spans="33:39" ht="12.75">
      <c r="AG447" s="16"/>
      <c r="AH447" s="16"/>
      <c r="AI447" s="16"/>
      <c r="AJ447" s="16"/>
      <c r="AK447" s="16"/>
      <c r="AL447" s="16"/>
      <c r="AM447" s="16"/>
    </row>
    <row r="448" spans="33:39" ht="12.75">
      <c r="AG448" s="16"/>
      <c r="AH448" s="16"/>
      <c r="AI448" s="16"/>
      <c r="AJ448" s="16"/>
      <c r="AK448" s="16"/>
      <c r="AL448" s="16"/>
      <c r="AM448" s="16"/>
    </row>
    <row r="449" spans="33:39" ht="12.75">
      <c r="AG449" s="16"/>
      <c r="AH449" s="16"/>
      <c r="AI449" s="16"/>
      <c r="AJ449" s="16"/>
      <c r="AK449" s="16"/>
      <c r="AL449" s="16"/>
      <c r="AM449" s="16"/>
    </row>
    <row r="450" spans="33:39" ht="12.75">
      <c r="AG450" s="16"/>
      <c r="AH450" s="16"/>
      <c r="AI450" s="16"/>
      <c r="AJ450" s="16"/>
      <c r="AK450" s="16"/>
      <c r="AL450" s="16"/>
      <c r="AM450" s="16"/>
    </row>
    <row r="451" spans="33:39" ht="12.75">
      <c r="AG451" s="16"/>
      <c r="AH451" s="16"/>
      <c r="AI451" s="16"/>
      <c r="AJ451" s="16"/>
      <c r="AK451" s="16"/>
      <c r="AL451" s="16"/>
      <c r="AM451" s="16"/>
    </row>
    <row r="452" spans="33:39" ht="12.75">
      <c r="AG452" s="16"/>
      <c r="AH452" s="16"/>
      <c r="AI452" s="16"/>
      <c r="AJ452" s="16"/>
      <c r="AK452" s="16"/>
      <c r="AL452" s="16"/>
      <c r="AM452" s="16"/>
    </row>
    <row r="453" spans="33:39" ht="12.75">
      <c r="AG453" s="16"/>
      <c r="AH453" s="16"/>
      <c r="AI453" s="16"/>
      <c r="AJ453" s="16"/>
      <c r="AK453" s="16"/>
      <c r="AL453" s="16"/>
      <c r="AM453" s="16"/>
    </row>
    <row r="454" spans="33:39" ht="12.75">
      <c r="AG454" s="16"/>
      <c r="AH454" s="16"/>
      <c r="AI454" s="16"/>
      <c r="AJ454" s="16"/>
      <c r="AK454" s="16"/>
      <c r="AL454" s="16"/>
      <c r="AM454" s="16"/>
    </row>
    <row r="455" spans="33:39" ht="12.75">
      <c r="AG455" s="16"/>
      <c r="AH455" s="16"/>
      <c r="AI455" s="16"/>
      <c r="AJ455" s="16"/>
      <c r="AK455" s="16"/>
      <c r="AL455" s="16"/>
      <c r="AM455" s="16"/>
    </row>
    <row r="456" spans="33:39" ht="12.75">
      <c r="AG456" s="16"/>
      <c r="AH456" s="16"/>
      <c r="AI456" s="16"/>
      <c r="AJ456" s="16"/>
      <c r="AK456" s="16"/>
      <c r="AL456" s="16"/>
      <c r="AM456" s="16"/>
    </row>
    <row r="457" spans="33:39" ht="12.75">
      <c r="AG457" s="16"/>
      <c r="AH457" s="16"/>
      <c r="AI457" s="16"/>
      <c r="AJ457" s="16"/>
      <c r="AK457" s="16"/>
      <c r="AL457" s="16"/>
      <c r="AM457" s="16"/>
    </row>
    <row r="458" spans="33:39" ht="12.75">
      <c r="AG458" s="16"/>
      <c r="AH458" s="16"/>
      <c r="AI458" s="16"/>
      <c r="AJ458" s="16"/>
      <c r="AK458" s="16"/>
      <c r="AL458" s="16"/>
      <c r="AM458" s="16"/>
    </row>
    <row r="459" spans="33:39" ht="12.75">
      <c r="AG459" s="16"/>
      <c r="AH459" s="16"/>
      <c r="AI459" s="16"/>
      <c r="AJ459" s="16"/>
      <c r="AK459" s="16"/>
      <c r="AL459" s="16"/>
      <c r="AM459" s="16"/>
    </row>
    <row r="460" spans="33:39" ht="12.75">
      <c r="AG460" s="16"/>
      <c r="AH460" s="16"/>
      <c r="AI460" s="16"/>
      <c r="AJ460" s="16"/>
      <c r="AK460" s="16"/>
      <c r="AL460" s="16"/>
      <c r="AM460" s="16"/>
    </row>
    <row r="461" spans="33:39" ht="12.75">
      <c r="AG461" s="16"/>
      <c r="AH461" s="16"/>
      <c r="AI461" s="16"/>
      <c r="AJ461" s="16"/>
      <c r="AK461" s="16"/>
      <c r="AL461" s="16"/>
      <c r="AM461" s="16"/>
    </row>
    <row r="462" spans="33:39" ht="12.75">
      <c r="AG462" s="16"/>
      <c r="AH462" s="16"/>
      <c r="AI462" s="16"/>
      <c r="AJ462" s="16"/>
      <c r="AK462" s="16"/>
      <c r="AL462" s="16"/>
      <c r="AM462" s="16"/>
    </row>
    <row r="463" spans="33:39" ht="12.75">
      <c r="AG463" s="16"/>
      <c r="AH463" s="16"/>
      <c r="AI463" s="16"/>
      <c r="AJ463" s="16"/>
      <c r="AK463" s="16"/>
      <c r="AL463" s="16"/>
      <c r="AM463" s="16"/>
    </row>
    <row r="464" spans="33:39" ht="12.75">
      <c r="AG464" s="16"/>
      <c r="AH464" s="16"/>
      <c r="AI464" s="16"/>
      <c r="AJ464" s="16"/>
      <c r="AK464" s="16"/>
      <c r="AL464" s="16"/>
      <c r="AM464" s="16"/>
    </row>
    <row r="465" spans="33:39" ht="12.75">
      <c r="AG465" s="16"/>
      <c r="AH465" s="16"/>
      <c r="AI465" s="16"/>
      <c r="AJ465" s="16"/>
      <c r="AK465" s="16"/>
      <c r="AL465" s="16"/>
      <c r="AM465" s="16"/>
    </row>
    <row r="466" spans="33:39" ht="12.75">
      <c r="AG466" s="16"/>
      <c r="AH466" s="16"/>
      <c r="AI466" s="16"/>
      <c r="AJ466" s="16"/>
      <c r="AK466" s="16"/>
      <c r="AL466" s="16"/>
      <c r="AM466" s="16"/>
    </row>
    <row r="467" spans="33:39" ht="12.75">
      <c r="AG467" s="16"/>
      <c r="AH467" s="16"/>
      <c r="AI467" s="16"/>
      <c r="AJ467" s="16"/>
      <c r="AK467" s="16"/>
      <c r="AL467" s="16"/>
      <c r="AM467" s="16"/>
    </row>
    <row r="468" spans="33:39" ht="12.75">
      <c r="AG468" s="16"/>
      <c r="AH468" s="16"/>
      <c r="AI468" s="16"/>
      <c r="AJ468" s="16"/>
      <c r="AK468" s="16"/>
      <c r="AL468" s="16"/>
      <c r="AM468" s="16"/>
    </row>
    <row r="469" spans="33:39" ht="12.75">
      <c r="AG469" s="16"/>
      <c r="AH469" s="16"/>
      <c r="AI469" s="16"/>
      <c r="AJ469" s="16"/>
      <c r="AK469" s="16"/>
      <c r="AL469" s="16"/>
      <c r="AM469" s="16"/>
    </row>
    <row r="470" spans="33:39" ht="12.75">
      <c r="AG470" s="16"/>
      <c r="AH470" s="16"/>
      <c r="AI470" s="16"/>
      <c r="AJ470" s="16"/>
      <c r="AK470" s="16"/>
      <c r="AL470" s="16"/>
      <c r="AM470" s="16"/>
    </row>
    <row r="471" spans="33:39" ht="12.75">
      <c r="AG471" s="16"/>
      <c r="AH471" s="16"/>
      <c r="AI471" s="16"/>
      <c r="AJ471" s="16"/>
      <c r="AK471" s="16"/>
      <c r="AL471" s="16"/>
      <c r="AM471" s="16"/>
    </row>
    <row r="472" spans="33:39" ht="12.75">
      <c r="AG472" s="16"/>
      <c r="AH472" s="16"/>
      <c r="AI472" s="16"/>
      <c r="AJ472" s="16"/>
      <c r="AK472" s="16"/>
      <c r="AL472" s="16"/>
      <c r="AM472" s="16"/>
    </row>
    <row r="473" spans="33:39" ht="12.75">
      <c r="AG473" s="16"/>
      <c r="AH473" s="16"/>
      <c r="AI473" s="16"/>
      <c r="AJ473" s="16"/>
      <c r="AK473" s="16"/>
      <c r="AL473" s="16"/>
      <c r="AM473" s="16"/>
    </row>
    <row r="474" spans="33:39" ht="12.75">
      <c r="AG474" s="16"/>
      <c r="AH474" s="16"/>
      <c r="AI474" s="16"/>
      <c r="AJ474" s="16"/>
      <c r="AK474" s="16"/>
      <c r="AL474" s="16"/>
      <c r="AM474" s="16"/>
    </row>
    <row r="475" spans="33:39" ht="12.75">
      <c r="AG475" s="16"/>
      <c r="AH475" s="16"/>
      <c r="AI475" s="16"/>
      <c r="AJ475" s="16"/>
      <c r="AK475" s="16"/>
      <c r="AL475" s="16"/>
      <c r="AM475" s="16"/>
    </row>
    <row r="476" spans="33:39" ht="12.75">
      <c r="AG476" s="16"/>
      <c r="AH476" s="16"/>
      <c r="AI476" s="16"/>
      <c r="AJ476" s="16"/>
      <c r="AK476" s="16"/>
      <c r="AL476" s="16"/>
      <c r="AM476" s="16"/>
    </row>
    <row r="477" spans="33:39" ht="12.75">
      <c r="AG477" s="16"/>
      <c r="AH477" s="16"/>
      <c r="AI477" s="16"/>
      <c r="AJ477" s="16"/>
      <c r="AK477" s="16"/>
      <c r="AL477" s="16"/>
      <c r="AM477" s="16"/>
    </row>
    <row r="478" spans="33:39" ht="12.75">
      <c r="AG478" s="16"/>
      <c r="AH478" s="16"/>
      <c r="AI478" s="16"/>
      <c r="AJ478" s="16"/>
      <c r="AK478" s="16"/>
      <c r="AL478" s="16"/>
      <c r="AM478" s="16"/>
    </row>
    <row r="479" spans="33:39" ht="12.75">
      <c r="AG479" s="16"/>
      <c r="AH479" s="16"/>
      <c r="AI479" s="16"/>
      <c r="AJ479" s="16"/>
      <c r="AK479" s="16"/>
      <c r="AL479" s="16"/>
      <c r="AM479" s="16"/>
    </row>
    <row r="480" spans="33:39" ht="12.75">
      <c r="AG480" s="16"/>
      <c r="AH480" s="16"/>
      <c r="AI480" s="16"/>
      <c r="AJ480" s="16"/>
      <c r="AK480" s="16"/>
      <c r="AL480" s="16"/>
      <c r="AM480" s="16"/>
    </row>
    <row r="481" spans="33:39" ht="12.75">
      <c r="AG481" s="16"/>
      <c r="AH481" s="16"/>
      <c r="AI481" s="16"/>
      <c r="AJ481" s="16"/>
      <c r="AK481" s="16"/>
      <c r="AL481" s="16"/>
      <c r="AM481" s="16"/>
    </row>
    <row r="482" spans="33:39" ht="12.75">
      <c r="AG482" s="16"/>
      <c r="AH482" s="16"/>
      <c r="AI482" s="16"/>
      <c r="AJ482" s="16"/>
      <c r="AK482" s="16"/>
      <c r="AL482" s="16"/>
      <c r="AM482" s="16"/>
    </row>
    <row r="483" spans="33:39" ht="12.75">
      <c r="AG483" s="16"/>
      <c r="AH483" s="16"/>
      <c r="AI483" s="16"/>
      <c r="AJ483" s="16"/>
      <c r="AK483" s="16"/>
      <c r="AL483" s="16"/>
      <c r="AM483" s="16"/>
    </row>
    <row r="484" spans="33:39" ht="12.75">
      <c r="AG484" s="16"/>
      <c r="AH484" s="16"/>
      <c r="AI484" s="16"/>
      <c r="AJ484" s="16"/>
      <c r="AK484" s="16"/>
      <c r="AL484" s="16"/>
      <c r="AM484" s="16"/>
    </row>
    <row r="485" spans="33:39" ht="12.75">
      <c r="AG485" s="16"/>
      <c r="AH485" s="16"/>
      <c r="AI485" s="16"/>
      <c r="AJ485" s="16"/>
      <c r="AK485" s="16"/>
      <c r="AL485" s="16"/>
      <c r="AM485" s="16"/>
    </row>
    <row r="486" spans="33:39" ht="12.75">
      <c r="AG486" s="16"/>
      <c r="AH486" s="16"/>
      <c r="AI486" s="16"/>
      <c r="AJ486" s="16"/>
      <c r="AK486" s="16"/>
      <c r="AL486" s="16"/>
      <c r="AM486" s="16"/>
    </row>
    <row r="487" spans="33:39" ht="12.75">
      <c r="AG487" s="16"/>
      <c r="AH487" s="16"/>
      <c r="AI487" s="16"/>
      <c r="AJ487" s="16"/>
      <c r="AK487" s="16"/>
      <c r="AL487" s="16"/>
      <c r="AM487" s="16"/>
    </row>
    <row r="488" spans="33:39" ht="12.75">
      <c r="AG488" s="16"/>
      <c r="AH488" s="16"/>
      <c r="AI488" s="16"/>
      <c r="AJ488" s="16"/>
      <c r="AK488" s="16"/>
      <c r="AL488" s="16"/>
      <c r="AM488" s="16"/>
    </row>
    <row r="489" spans="33:39" ht="12.75">
      <c r="AG489" s="16"/>
      <c r="AH489" s="16"/>
      <c r="AI489" s="16"/>
      <c r="AJ489" s="16"/>
      <c r="AK489" s="16"/>
      <c r="AL489" s="16"/>
      <c r="AM489" s="16"/>
    </row>
    <row r="490" spans="33:39" ht="12.75">
      <c r="AG490" s="16"/>
      <c r="AH490" s="16"/>
      <c r="AI490" s="16"/>
      <c r="AJ490" s="16"/>
      <c r="AK490" s="16"/>
      <c r="AL490" s="16"/>
      <c r="AM490" s="16"/>
    </row>
    <row r="491" spans="33:39" ht="12.75">
      <c r="AG491" s="16"/>
      <c r="AH491" s="16"/>
      <c r="AI491" s="16"/>
      <c r="AJ491" s="16"/>
      <c r="AK491" s="16"/>
      <c r="AL491" s="16"/>
      <c r="AM491" s="16"/>
    </row>
    <row r="492" spans="33:39" ht="12.75">
      <c r="AG492" s="16"/>
      <c r="AH492" s="16"/>
      <c r="AI492" s="16"/>
      <c r="AJ492" s="16"/>
      <c r="AK492" s="16"/>
      <c r="AL492" s="16"/>
      <c r="AM492" s="16"/>
    </row>
    <row r="493" spans="33:39" ht="12.75">
      <c r="AG493" s="16"/>
      <c r="AH493" s="16"/>
      <c r="AI493" s="16"/>
      <c r="AJ493" s="16"/>
      <c r="AK493" s="16"/>
      <c r="AL493" s="16"/>
      <c r="AM493" s="16"/>
    </row>
    <row r="494" spans="33:39" ht="12.75">
      <c r="AG494" s="16"/>
      <c r="AH494" s="16"/>
      <c r="AI494" s="16"/>
      <c r="AJ494" s="16"/>
      <c r="AK494" s="16"/>
      <c r="AL494" s="16"/>
      <c r="AM494" s="16"/>
    </row>
    <row r="495" spans="33:39" ht="12.75">
      <c r="AG495" s="16"/>
      <c r="AH495" s="16"/>
      <c r="AI495" s="16"/>
      <c r="AJ495" s="16"/>
      <c r="AK495" s="16"/>
      <c r="AL495" s="16"/>
      <c r="AM495" s="16"/>
    </row>
    <row r="496" spans="33:39" ht="12.75">
      <c r="AG496" s="16"/>
      <c r="AH496" s="16"/>
      <c r="AI496" s="16"/>
      <c r="AJ496" s="16"/>
      <c r="AK496" s="16"/>
      <c r="AL496" s="16"/>
      <c r="AM496" s="16"/>
    </row>
    <row r="497" spans="33:39" ht="12.75">
      <c r="AG497" s="16"/>
      <c r="AH497" s="16"/>
      <c r="AI497" s="16"/>
      <c r="AJ497" s="16"/>
      <c r="AK497" s="16"/>
      <c r="AL497" s="16"/>
      <c r="AM497" s="16"/>
    </row>
    <row r="498" spans="33:39" ht="12.75">
      <c r="AG498" s="16"/>
      <c r="AH498" s="16"/>
      <c r="AI498" s="16"/>
      <c r="AJ498" s="16"/>
      <c r="AK498" s="16"/>
      <c r="AL498" s="16"/>
      <c r="AM498" s="16"/>
    </row>
    <row r="499" spans="33:39" ht="12.75">
      <c r="AG499" s="16"/>
      <c r="AH499" s="16"/>
      <c r="AI499" s="16"/>
      <c r="AJ499" s="16"/>
      <c r="AK499" s="16"/>
      <c r="AL499" s="16"/>
      <c r="AM499" s="16"/>
    </row>
    <row r="500" spans="33:39" ht="12.75">
      <c r="AG500" s="16"/>
      <c r="AH500" s="16"/>
      <c r="AI500" s="16"/>
      <c r="AJ500" s="16"/>
      <c r="AK500" s="16"/>
      <c r="AL500" s="16"/>
      <c r="AM500" s="16"/>
    </row>
    <row r="501" spans="33:39" ht="12.75">
      <c r="AG501" s="16"/>
      <c r="AH501" s="16"/>
      <c r="AI501" s="16"/>
      <c r="AJ501" s="16"/>
      <c r="AK501" s="16"/>
      <c r="AL501" s="16"/>
      <c r="AM501" s="16"/>
    </row>
    <row r="502" spans="33:39" ht="12.75">
      <c r="AG502" s="16"/>
      <c r="AH502" s="16"/>
      <c r="AI502" s="16"/>
      <c r="AJ502" s="16"/>
      <c r="AK502" s="16"/>
      <c r="AL502" s="16"/>
      <c r="AM502" s="16"/>
    </row>
    <row r="503" spans="33:39" ht="12.75">
      <c r="AG503" s="16"/>
      <c r="AH503" s="16"/>
      <c r="AI503" s="16"/>
      <c r="AJ503" s="16"/>
      <c r="AK503" s="16"/>
      <c r="AL503" s="16"/>
      <c r="AM503" s="16"/>
    </row>
    <row r="504" spans="33:39" ht="12.75">
      <c r="AG504" s="16"/>
      <c r="AH504" s="16"/>
      <c r="AI504" s="16"/>
      <c r="AJ504" s="16"/>
      <c r="AK504" s="16"/>
      <c r="AL504" s="16"/>
      <c r="AM504" s="16"/>
    </row>
    <row r="505" spans="33:39" ht="12.75">
      <c r="AG505" s="16"/>
      <c r="AH505" s="16"/>
      <c r="AI505" s="16"/>
      <c r="AJ505" s="16"/>
      <c r="AK505" s="16"/>
      <c r="AL505" s="16"/>
      <c r="AM505" s="16"/>
    </row>
    <row r="506" spans="33:39" ht="12.75">
      <c r="AG506" s="16"/>
      <c r="AH506" s="16"/>
      <c r="AI506" s="16"/>
      <c r="AJ506" s="16"/>
      <c r="AK506" s="16"/>
      <c r="AL506" s="16"/>
      <c r="AM506" s="16"/>
    </row>
    <row r="507" spans="33:39" ht="12.75">
      <c r="AG507" s="16"/>
      <c r="AH507" s="16"/>
      <c r="AI507" s="16"/>
      <c r="AJ507" s="16"/>
      <c r="AK507" s="16"/>
      <c r="AL507" s="16"/>
      <c r="AM507" s="16"/>
    </row>
    <row r="508" spans="33:39" ht="12.75">
      <c r="AG508" s="16"/>
      <c r="AH508" s="16"/>
      <c r="AI508" s="16"/>
      <c r="AJ508" s="16"/>
      <c r="AK508" s="16"/>
      <c r="AL508" s="16"/>
      <c r="AM508" s="16"/>
    </row>
    <row r="509" spans="33:39" ht="12.75">
      <c r="AG509" s="16"/>
      <c r="AH509" s="16"/>
      <c r="AI509" s="16"/>
      <c r="AJ509" s="16"/>
      <c r="AK509" s="16"/>
      <c r="AL509" s="16"/>
      <c r="AM509" s="16"/>
    </row>
    <row r="510" spans="33:39" ht="12.75">
      <c r="AG510" s="16"/>
      <c r="AH510" s="16"/>
      <c r="AI510" s="16"/>
      <c r="AJ510" s="16"/>
      <c r="AK510" s="16"/>
      <c r="AL510" s="16"/>
      <c r="AM510" s="16"/>
    </row>
    <row r="511" spans="33:39" ht="12.75">
      <c r="AG511" s="16"/>
      <c r="AH511" s="16"/>
      <c r="AI511" s="16"/>
      <c r="AJ511" s="16"/>
      <c r="AK511" s="16"/>
      <c r="AL511" s="16"/>
      <c r="AM511" s="16"/>
    </row>
    <row r="512" spans="33:39" ht="12.75">
      <c r="AG512" s="16"/>
      <c r="AH512" s="16"/>
      <c r="AI512" s="16"/>
      <c r="AJ512" s="16"/>
      <c r="AK512" s="16"/>
      <c r="AL512" s="16"/>
      <c r="AM512" s="16"/>
    </row>
    <row r="513" spans="33:39" ht="12.75">
      <c r="AG513" s="16"/>
      <c r="AH513" s="16"/>
      <c r="AI513" s="16"/>
      <c r="AJ513" s="16"/>
      <c r="AK513" s="16"/>
      <c r="AL513" s="16"/>
      <c r="AM513" s="16"/>
    </row>
    <row r="514" spans="33:39" ht="12.75">
      <c r="AG514" s="16"/>
      <c r="AH514" s="16"/>
      <c r="AI514" s="16"/>
      <c r="AJ514" s="16"/>
      <c r="AK514" s="16"/>
      <c r="AL514" s="16"/>
      <c r="AM514" s="16"/>
    </row>
    <row r="515" spans="33:39" ht="12.75">
      <c r="AG515" s="16"/>
      <c r="AH515" s="16"/>
      <c r="AI515" s="16"/>
      <c r="AJ515" s="16"/>
      <c r="AK515" s="16"/>
      <c r="AL515" s="16"/>
      <c r="AM515" s="16"/>
    </row>
    <row r="516" spans="33:39" ht="12.75">
      <c r="AG516" s="16"/>
      <c r="AH516" s="16"/>
      <c r="AI516" s="16"/>
      <c r="AJ516" s="16"/>
      <c r="AK516" s="16"/>
      <c r="AL516" s="16"/>
      <c r="AM516" s="16"/>
    </row>
    <row r="517" spans="33:39" ht="12.75">
      <c r="AG517" s="16"/>
      <c r="AH517" s="16"/>
      <c r="AI517" s="16"/>
      <c r="AJ517" s="16"/>
      <c r="AK517" s="16"/>
      <c r="AL517" s="16"/>
      <c r="AM517" s="16"/>
    </row>
    <row r="518" spans="33:39" ht="12.75">
      <c r="AG518" s="16"/>
      <c r="AH518" s="16"/>
      <c r="AI518" s="16"/>
      <c r="AJ518" s="16"/>
      <c r="AK518" s="16"/>
      <c r="AL518" s="16"/>
      <c r="AM518" s="16"/>
    </row>
    <row r="519" spans="33:39" ht="12.75">
      <c r="AG519" s="16"/>
      <c r="AH519" s="16"/>
      <c r="AI519" s="16"/>
      <c r="AJ519" s="16"/>
      <c r="AK519" s="16"/>
      <c r="AL519" s="16"/>
      <c r="AM519" s="16"/>
    </row>
    <row r="520" spans="33:39" ht="12.75">
      <c r="AG520" s="16"/>
      <c r="AH520" s="16"/>
      <c r="AI520" s="16"/>
      <c r="AJ520" s="16"/>
      <c r="AK520" s="16"/>
      <c r="AL520" s="16"/>
      <c r="AM520" s="16"/>
    </row>
    <row r="521" spans="33:39" ht="12.75">
      <c r="AG521" s="16"/>
      <c r="AH521" s="16"/>
      <c r="AI521" s="16"/>
      <c r="AJ521" s="16"/>
      <c r="AK521" s="16"/>
      <c r="AL521" s="16"/>
      <c r="AM521" s="16"/>
    </row>
    <row r="522" spans="33:39" ht="12.75">
      <c r="AG522" s="16"/>
      <c r="AH522" s="16"/>
      <c r="AI522" s="16"/>
      <c r="AJ522" s="16"/>
      <c r="AK522" s="16"/>
      <c r="AL522" s="16"/>
      <c r="AM522" s="16"/>
    </row>
    <row r="523" spans="33:39" ht="12.75">
      <c r="AG523" s="16"/>
      <c r="AH523" s="16"/>
      <c r="AI523" s="16"/>
      <c r="AJ523" s="16"/>
      <c r="AK523" s="16"/>
      <c r="AL523" s="16"/>
      <c r="AM523" s="16"/>
    </row>
    <row r="524" spans="33:39" ht="12.75">
      <c r="AG524" s="16"/>
      <c r="AH524" s="16"/>
      <c r="AI524" s="16"/>
      <c r="AJ524" s="16"/>
      <c r="AK524" s="16"/>
      <c r="AL524" s="16"/>
      <c r="AM524" s="16"/>
    </row>
    <row r="525" spans="33:39" ht="12.75">
      <c r="AG525" s="16"/>
      <c r="AH525" s="16"/>
      <c r="AI525" s="16"/>
      <c r="AJ525" s="16"/>
      <c r="AK525" s="16"/>
      <c r="AL525" s="16"/>
      <c r="AM525" s="16"/>
    </row>
    <row r="526" spans="33:39" ht="12.75">
      <c r="AG526" s="16"/>
      <c r="AH526" s="16"/>
      <c r="AI526" s="16"/>
      <c r="AJ526" s="16"/>
      <c r="AK526" s="16"/>
      <c r="AL526" s="16"/>
      <c r="AM526" s="16"/>
    </row>
    <row r="527" spans="33:39" ht="12.75">
      <c r="AG527" s="16"/>
      <c r="AH527" s="16"/>
      <c r="AI527" s="16"/>
      <c r="AJ527" s="16"/>
      <c r="AK527" s="16"/>
      <c r="AL527" s="16"/>
      <c r="AM527" s="16"/>
    </row>
    <row r="528" spans="33:39" ht="12.75">
      <c r="AG528" s="16"/>
      <c r="AH528" s="16"/>
      <c r="AI528" s="16"/>
      <c r="AJ528" s="16"/>
      <c r="AK528" s="16"/>
      <c r="AL528" s="16"/>
      <c r="AM528" s="16"/>
    </row>
    <row r="529" spans="33:39" ht="12.75">
      <c r="AG529" s="16"/>
      <c r="AH529" s="16"/>
      <c r="AI529" s="16"/>
      <c r="AJ529" s="16"/>
      <c r="AK529" s="16"/>
      <c r="AL529" s="16"/>
      <c r="AM529" s="16"/>
    </row>
    <row r="530" spans="33:39" ht="12.75">
      <c r="AG530" s="16"/>
      <c r="AH530" s="16"/>
      <c r="AI530" s="16"/>
      <c r="AJ530" s="16"/>
      <c r="AK530" s="16"/>
      <c r="AL530" s="16"/>
      <c r="AM530" s="16"/>
    </row>
    <row r="531" spans="33:39" ht="12.75">
      <c r="AG531" s="16"/>
      <c r="AH531" s="16"/>
      <c r="AI531" s="16"/>
      <c r="AJ531" s="16"/>
      <c r="AK531" s="16"/>
      <c r="AL531" s="16"/>
      <c r="AM531" s="16"/>
    </row>
    <row r="532" spans="33:39" ht="12.75">
      <c r="AG532" s="16"/>
      <c r="AH532" s="16"/>
      <c r="AI532" s="16"/>
      <c r="AJ532" s="16"/>
      <c r="AK532" s="16"/>
      <c r="AL532" s="16"/>
      <c r="AM532" s="16"/>
    </row>
    <row r="533" spans="33:39" ht="12.75">
      <c r="AG533" s="16"/>
      <c r="AH533" s="16"/>
      <c r="AI533" s="16"/>
      <c r="AJ533" s="16"/>
      <c r="AK533" s="16"/>
      <c r="AL533" s="16"/>
      <c r="AM533" s="16"/>
    </row>
    <row r="534" spans="33:39" ht="12.75">
      <c r="AG534" s="16"/>
      <c r="AH534" s="16"/>
      <c r="AI534" s="16"/>
      <c r="AJ534" s="16"/>
      <c r="AK534" s="16"/>
      <c r="AL534" s="16"/>
      <c r="AM534" s="16"/>
    </row>
    <row r="535" spans="33:39" ht="12.75">
      <c r="AG535" s="16"/>
      <c r="AH535" s="16"/>
      <c r="AI535" s="16"/>
      <c r="AJ535" s="16"/>
      <c r="AK535" s="16"/>
      <c r="AL535" s="16"/>
      <c r="AM535" s="16"/>
    </row>
    <row r="536" spans="33:39" ht="12.75">
      <c r="AG536" s="16"/>
      <c r="AH536" s="16"/>
      <c r="AI536" s="16"/>
      <c r="AJ536" s="16"/>
      <c r="AK536" s="16"/>
      <c r="AL536" s="16"/>
      <c r="AM536" s="16"/>
    </row>
    <row r="537" spans="33:39" ht="12.75">
      <c r="AG537" s="16"/>
      <c r="AH537" s="16"/>
      <c r="AI537" s="16"/>
      <c r="AJ537" s="16"/>
      <c r="AK537" s="16"/>
      <c r="AL537" s="16"/>
      <c r="AM537" s="16"/>
    </row>
    <row r="538" spans="33:39" ht="12.75">
      <c r="AG538" s="16"/>
      <c r="AH538" s="16"/>
      <c r="AI538" s="16"/>
      <c r="AJ538" s="16"/>
      <c r="AK538" s="16"/>
      <c r="AL538" s="16"/>
      <c r="AM538" s="16"/>
    </row>
    <row r="539" spans="33:39" ht="12.75">
      <c r="AG539" s="16"/>
      <c r="AH539" s="16"/>
      <c r="AI539" s="16"/>
      <c r="AJ539" s="16"/>
      <c r="AK539" s="16"/>
      <c r="AL539" s="16"/>
      <c r="AM539" s="16"/>
    </row>
    <row r="540" spans="33:39" ht="12.75">
      <c r="AG540" s="16"/>
      <c r="AH540" s="16"/>
      <c r="AI540" s="16"/>
      <c r="AJ540" s="16"/>
      <c r="AK540" s="16"/>
      <c r="AL540" s="16"/>
      <c r="AM540" s="16"/>
    </row>
    <row r="541" spans="33:39" ht="12.75">
      <c r="AG541" s="16"/>
      <c r="AH541" s="16"/>
      <c r="AI541" s="16"/>
      <c r="AJ541" s="16"/>
      <c r="AK541" s="16"/>
      <c r="AL541" s="16"/>
      <c r="AM541" s="16"/>
    </row>
    <row r="542" spans="33:39" ht="12.75">
      <c r="AG542" s="16"/>
      <c r="AH542" s="16"/>
      <c r="AI542" s="16"/>
      <c r="AJ542" s="16"/>
      <c r="AK542" s="16"/>
      <c r="AL542" s="16"/>
      <c r="AM542" s="16"/>
    </row>
    <row r="543" spans="33:39" ht="12.75">
      <c r="AG543" s="16"/>
      <c r="AH543" s="16"/>
      <c r="AI543" s="16"/>
      <c r="AJ543" s="16"/>
      <c r="AK543" s="16"/>
      <c r="AL543" s="16"/>
      <c r="AM543" s="16"/>
    </row>
    <row r="544" spans="33:39" ht="12.75">
      <c r="AG544" s="16"/>
      <c r="AH544" s="16"/>
      <c r="AI544" s="16"/>
      <c r="AJ544" s="16"/>
      <c r="AK544" s="16"/>
      <c r="AL544" s="16"/>
      <c r="AM544" s="16"/>
    </row>
    <row r="545" spans="33:39" ht="12.75">
      <c r="AG545" s="16"/>
      <c r="AH545" s="16"/>
      <c r="AI545" s="16"/>
      <c r="AJ545" s="16"/>
      <c r="AK545" s="16"/>
      <c r="AL545" s="16"/>
      <c r="AM545" s="16"/>
    </row>
    <row r="546" spans="33:39" ht="12.75">
      <c r="AG546" s="16"/>
      <c r="AH546" s="16"/>
      <c r="AI546" s="16"/>
      <c r="AJ546" s="16"/>
      <c r="AK546" s="16"/>
      <c r="AL546" s="16"/>
      <c r="AM546" s="16"/>
    </row>
    <row r="547" spans="33:39" ht="12.75">
      <c r="AG547" s="16"/>
      <c r="AH547" s="16"/>
      <c r="AI547" s="16"/>
      <c r="AJ547" s="16"/>
      <c r="AK547" s="16"/>
      <c r="AL547" s="16"/>
      <c r="AM547" s="16"/>
    </row>
    <row r="548" spans="33:39" ht="12.75">
      <c r="AG548" s="16"/>
      <c r="AH548" s="16"/>
      <c r="AI548" s="16"/>
      <c r="AJ548" s="16"/>
      <c r="AK548" s="16"/>
      <c r="AL548" s="16"/>
      <c r="AM548" s="16"/>
    </row>
    <row r="549" spans="33:39" ht="12.75">
      <c r="AG549" s="16"/>
      <c r="AH549" s="16"/>
      <c r="AI549" s="16"/>
      <c r="AJ549" s="16"/>
      <c r="AK549" s="16"/>
      <c r="AL549" s="16"/>
      <c r="AM549" s="16"/>
    </row>
    <row r="550" spans="33:39" ht="12.75">
      <c r="AG550" s="16"/>
      <c r="AH550" s="16"/>
      <c r="AI550" s="16"/>
      <c r="AJ550" s="16"/>
      <c r="AK550" s="16"/>
      <c r="AL550" s="16"/>
      <c r="AM550" s="16"/>
    </row>
    <row r="551" spans="33:39" ht="12.75">
      <c r="AG551" s="16"/>
      <c r="AH551" s="16"/>
      <c r="AI551" s="16"/>
      <c r="AJ551" s="16"/>
      <c r="AK551" s="16"/>
      <c r="AL551" s="16"/>
      <c r="AM551" s="16"/>
    </row>
    <row r="552" spans="33:39" ht="12.75">
      <c r="AG552" s="16"/>
      <c r="AH552" s="16"/>
      <c r="AI552" s="16"/>
      <c r="AJ552" s="16"/>
      <c r="AK552" s="16"/>
      <c r="AL552" s="16"/>
      <c r="AM552" s="16"/>
    </row>
    <row r="553" spans="33:39" ht="12.75">
      <c r="AG553" s="16"/>
      <c r="AH553" s="16"/>
      <c r="AI553" s="16"/>
      <c r="AJ553" s="16"/>
      <c r="AK553" s="16"/>
      <c r="AL553" s="16"/>
      <c r="AM553" s="16"/>
    </row>
    <row r="554" spans="33:39" ht="12.75">
      <c r="AG554" s="16"/>
      <c r="AH554" s="16"/>
      <c r="AI554" s="16"/>
      <c r="AJ554" s="16"/>
      <c r="AK554" s="16"/>
      <c r="AL554" s="16"/>
      <c r="AM554" s="16"/>
    </row>
    <row r="555" spans="33:39" ht="12.75">
      <c r="AG555" s="16"/>
      <c r="AH555" s="16"/>
      <c r="AI555" s="16"/>
      <c r="AJ555" s="16"/>
      <c r="AK555" s="16"/>
      <c r="AL555" s="16"/>
      <c r="AM555" s="16"/>
    </row>
    <row r="556" spans="33:39" ht="12.75">
      <c r="AG556" s="16"/>
      <c r="AH556" s="16"/>
      <c r="AI556" s="16"/>
      <c r="AJ556" s="16"/>
      <c r="AK556" s="16"/>
      <c r="AL556" s="16"/>
      <c r="AM556" s="16"/>
    </row>
    <row r="557" spans="33:39" ht="12.75">
      <c r="AG557" s="16"/>
      <c r="AH557" s="16"/>
      <c r="AI557" s="16"/>
      <c r="AJ557" s="16"/>
      <c r="AK557" s="16"/>
      <c r="AL557" s="16"/>
      <c r="AM557" s="16"/>
    </row>
    <row r="558" spans="33:39" ht="12.75">
      <c r="AG558" s="16"/>
      <c r="AH558" s="16"/>
      <c r="AI558" s="16"/>
      <c r="AJ558" s="16"/>
      <c r="AK558" s="16"/>
      <c r="AL558" s="16"/>
      <c r="AM558" s="16"/>
    </row>
    <row r="559" spans="33:39" ht="12.75">
      <c r="AG559" s="16"/>
      <c r="AH559" s="16"/>
      <c r="AI559" s="16"/>
      <c r="AJ559" s="16"/>
      <c r="AK559" s="16"/>
      <c r="AL559" s="16"/>
      <c r="AM559" s="16"/>
    </row>
    <row r="560" spans="33:39" ht="12.75">
      <c r="AG560" s="16"/>
      <c r="AH560" s="16"/>
      <c r="AI560" s="16"/>
      <c r="AJ560" s="16"/>
      <c r="AK560" s="16"/>
      <c r="AL560" s="16"/>
      <c r="AM560" s="16"/>
    </row>
    <row r="561" spans="33:39" ht="12.75">
      <c r="AG561" s="16"/>
      <c r="AH561" s="16"/>
      <c r="AI561" s="16"/>
      <c r="AJ561" s="16"/>
      <c r="AK561" s="16"/>
      <c r="AL561" s="16"/>
      <c r="AM561" s="16"/>
    </row>
    <row r="562" spans="33:39" ht="12.75">
      <c r="AG562" s="16"/>
      <c r="AH562" s="16"/>
      <c r="AI562" s="16"/>
      <c r="AJ562" s="16"/>
      <c r="AK562" s="16"/>
      <c r="AL562" s="16"/>
      <c r="AM562" s="16"/>
    </row>
    <row r="563" spans="33:39" ht="12.75">
      <c r="AG563" s="16"/>
      <c r="AH563" s="16"/>
      <c r="AI563" s="16"/>
      <c r="AJ563" s="16"/>
      <c r="AK563" s="16"/>
      <c r="AL563" s="16"/>
      <c r="AM563" s="16"/>
    </row>
    <row r="564" spans="33:39" ht="12.75">
      <c r="AG564" s="16"/>
      <c r="AH564" s="16"/>
      <c r="AI564" s="16"/>
      <c r="AJ564" s="16"/>
      <c r="AK564" s="16"/>
      <c r="AL564" s="16"/>
      <c r="AM564" s="16"/>
    </row>
    <row r="565" spans="33:39" ht="12.75">
      <c r="AG565" s="16"/>
      <c r="AH565" s="16"/>
      <c r="AI565" s="16"/>
      <c r="AJ565" s="16"/>
      <c r="AK565" s="16"/>
      <c r="AL565" s="16"/>
      <c r="AM565" s="16"/>
    </row>
    <row r="566" spans="33:39" ht="12.75">
      <c r="AG566" s="16"/>
      <c r="AH566" s="16"/>
      <c r="AI566" s="16"/>
      <c r="AJ566" s="16"/>
      <c r="AK566" s="16"/>
      <c r="AL566" s="16"/>
      <c r="AM566" s="16"/>
    </row>
    <row r="567" spans="33:39" ht="12.75">
      <c r="AG567" s="16"/>
      <c r="AH567" s="16"/>
      <c r="AI567" s="16"/>
      <c r="AJ567" s="16"/>
      <c r="AK567" s="16"/>
      <c r="AL567" s="16"/>
      <c r="AM567" s="16"/>
    </row>
    <row r="568" spans="33:39" ht="12.75">
      <c r="AG568" s="16"/>
      <c r="AH568" s="16"/>
      <c r="AI568" s="16"/>
      <c r="AJ568" s="16"/>
      <c r="AK568" s="16"/>
      <c r="AL568" s="16"/>
      <c r="AM568" s="16"/>
    </row>
    <row r="569" spans="33:39" ht="12.75">
      <c r="AG569" s="16"/>
      <c r="AH569" s="16"/>
      <c r="AI569" s="16"/>
      <c r="AJ569" s="16"/>
      <c r="AK569" s="16"/>
      <c r="AL569" s="16"/>
      <c r="AM569" s="16"/>
    </row>
    <row r="570" spans="33:39" ht="12.75">
      <c r="AG570" s="16"/>
      <c r="AH570" s="16"/>
      <c r="AI570" s="16"/>
      <c r="AJ570" s="16"/>
      <c r="AK570" s="16"/>
      <c r="AL570" s="16"/>
      <c r="AM570" s="16"/>
    </row>
    <row r="571" spans="33:39" ht="12.75">
      <c r="AG571" s="16"/>
      <c r="AH571" s="16"/>
      <c r="AI571" s="16"/>
      <c r="AJ571" s="16"/>
      <c r="AK571" s="16"/>
      <c r="AL571" s="16"/>
      <c r="AM571" s="16"/>
    </row>
    <row r="572" spans="33:39" ht="12.75">
      <c r="AG572" s="16"/>
      <c r="AH572" s="16"/>
      <c r="AI572" s="16"/>
      <c r="AJ572" s="16"/>
      <c r="AK572" s="16"/>
      <c r="AL572" s="16"/>
      <c r="AM572" s="16"/>
    </row>
    <row r="573" spans="33:39" ht="12.75">
      <c r="AG573" s="16"/>
      <c r="AH573" s="16"/>
      <c r="AI573" s="16"/>
      <c r="AJ573" s="16"/>
      <c r="AK573" s="16"/>
      <c r="AL573" s="16"/>
      <c r="AM573" s="16"/>
    </row>
    <row r="574" spans="33:39" ht="12.75">
      <c r="AG574" s="16"/>
      <c r="AH574" s="16"/>
      <c r="AI574" s="16"/>
      <c r="AJ574" s="16"/>
      <c r="AK574" s="16"/>
      <c r="AL574" s="16"/>
      <c r="AM574" s="16"/>
    </row>
    <row r="575" spans="33:39" ht="12.75">
      <c r="AG575" s="16"/>
      <c r="AH575" s="16"/>
      <c r="AI575" s="16"/>
      <c r="AJ575" s="16"/>
      <c r="AK575" s="16"/>
      <c r="AL575" s="16"/>
      <c r="AM575" s="16"/>
    </row>
    <row r="576" spans="33:39" ht="12.75">
      <c r="AG576" s="16"/>
      <c r="AH576" s="16"/>
      <c r="AI576" s="16"/>
      <c r="AJ576" s="16"/>
      <c r="AK576" s="16"/>
      <c r="AL576" s="16"/>
      <c r="AM576" s="16"/>
    </row>
    <row r="577" spans="33:39" ht="12.75">
      <c r="AG577" s="16"/>
      <c r="AH577" s="16"/>
      <c r="AI577" s="16"/>
      <c r="AJ577" s="16"/>
      <c r="AK577" s="16"/>
      <c r="AL577" s="16"/>
      <c r="AM577" s="16"/>
    </row>
    <row r="578" spans="33:39" ht="12.75">
      <c r="AG578" s="16"/>
      <c r="AH578" s="16"/>
      <c r="AI578" s="16"/>
      <c r="AJ578" s="16"/>
      <c r="AK578" s="16"/>
      <c r="AL578" s="16"/>
      <c r="AM578" s="16"/>
    </row>
    <row r="579" spans="33:39" ht="12.75">
      <c r="AG579" s="16"/>
      <c r="AH579" s="16"/>
      <c r="AI579" s="16"/>
      <c r="AJ579" s="16"/>
      <c r="AK579" s="16"/>
      <c r="AL579" s="16"/>
      <c r="AM579" s="16"/>
    </row>
    <row r="580" spans="33:39" ht="12.75">
      <c r="AG580" s="16"/>
      <c r="AH580" s="16"/>
      <c r="AI580" s="16"/>
      <c r="AJ580" s="16"/>
      <c r="AK580" s="16"/>
      <c r="AL580" s="16"/>
      <c r="AM580" s="16"/>
    </row>
    <row r="581" spans="33:39" ht="12.75">
      <c r="AG581" s="16"/>
      <c r="AH581" s="16"/>
      <c r="AI581" s="16"/>
      <c r="AJ581" s="16"/>
      <c r="AK581" s="16"/>
      <c r="AL581" s="16"/>
      <c r="AM581" s="16"/>
    </row>
    <row r="582" spans="33:39" ht="12.75">
      <c r="AG582" s="16"/>
      <c r="AH582" s="16"/>
      <c r="AI582" s="16"/>
      <c r="AJ582" s="16"/>
      <c r="AK582" s="16"/>
      <c r="AL582" s="16"/>
      <c r="AM582" s="16"/>
    </row>
    <row r="583" spans="33:39" ht="12.75">
      <c r="AG583" s="16"/>
      <c r="AH583" s="16"/>
      <c r="AI583" s="16"/>
      <c r="AJ583" s="16"/>
      <c r="AK583" s="16"/>
      <c r="AL583" s="16"/>
      <c r="AM583" s="16"/>
    </row>
    <row r="584" spans="33:39" ht="12.75">
      <c r="AG584" s="16"/>
      <c r="AH584" s="16"/>
      <c r="AI584" s="16"/>
      <c r="AJ584" s="16"/>
      <c r="AK584" s="16"/>
      <c r="AL584" s="16"/>
      <c r="AM584" s="16"/>
    </row>
    <row r="585" spans="33:39" ht="12.75">
      <c r="AG585" s="16"/>
      <c r="AH585" s="16"/>
      <c r="AI585" s="16"/>
      <c r="AJ585" s="16"/>
      <c r="AK585" s="16"/>
      <c r="AL585" s="16"/>
      <c r="AM585" s="16"/>
    </row>
    <row r="586" spans="33:39" ht="12.75">
      <c r="AG586" s="16"/>
      <c r="AH586" s="16"/>
      <c r="AI586" s="16"/>
      <c r="AJ586" s="16"/>
      <c r="AK586" s="16"/>
      <c r="AL586" s="16"/>
      <c r="AM586" s="16"/>
    </row>
    <row r="587" spans="33:39" ht="12.75">
      <c r="AG587" s="16"/>
      <c r="AH587" s="16"/>
      <c r="AI587" s="16"/>
      <c r="AJ587" s="16"/>
      <c r="AK587" s="16"/>
      <c r="AL587" s="16"/>
      <c r="AM587" s="16"/>
    </row>
    <row r="588" spans="33:39" ht="12.75">
      <c r="AG588" s="16"/>
      <c r="AH588" s="16"/>
      <c r="AI588" s="16"/>
      <c r="AJ588" s="16"/>
      <c r="AK588" s="16"/>
      <c r="AL588" s="16"/>
      <c r="AM588" s="16"/>
    </row>
    <row r="589" spans="33:39" ht="12.75">
      <c r="AG589" s="16"/>
      <c r="AH589" s="16"/>
      <c r="AI589" s="16"/>
      <c r="AJ589" s="16"/>
      <c r="AK589" s="16"/>
      <c r="AL589" s="16"/>
      <c r="AM589" s="16"/>
    </row>
    <row r="590" spans="33:39" ht="12.75">
      <c r="AG590" s="16"/>
      <c r="AH590" s="16"/>
      <c r="AI590" s="16"/>
      <c r="AJ590" s="16"/>
      <c r="AK590" s="16"/>
      <c r="AL590" s="16"/>
      <c r="AM590" s="16"/>
    </row>
    <row r="591" spans="33:39" ht="12.75">
      <c r="AG591" s="16"/>
      <c r="AH591" s="16"/>
      <c r="AI591" s="16"/>
      <c r="AJ591" s="16"/>
      <c r="AK591" s="16"/>
      <c r="AL591" s="16"/>
      <c r="AM591" s="16"/>
    </row>
    <row r="592" spans="33:39" ht="12.75">
      <c r="AG592" s="16"/>
      <c r="AH592" s="16"/>
      <c r="AI592" s="16"/>
      <c r="AJ592" s="16"/>
      <c r="AK592" s="16"/>
      <c r="AL592" s="16"/>
      <c r="AM592" s="16"/>
    </row>
    <row r="593" spans="33:39" ht="12.75">
      <c r="AG593" s="16"/>
      <c r="AH593" s="16"/>
      <c r="AI593" s="16"/>
      <c r="AJ593" s="16"/>
      <c r="AK593" s="16"/>
      <c r="AL593" s="16"/>
      <c r="AM593" s="16"/>
    </row>
    <row r="594" spans="33:39" ht="12.75">
      <c r="AG594" s="16"/>
      <c r="AH594" s="16"/>
      <c r="AI594" s="16"/>
      <c r="AJ594" s="16"/>
      <c r="AK594" s="16"/>
      <c r="AL594" s="16"/>
      <c r="AM594" s="16"/>
    </row>
    <row r="595" spans="33:39" ht="12.75">
      <c r="AG595" s="16"/>
      <c r="AH595" s="16"/>
      <c r="AI595" s="16"/>
      <c r="AJ595" s="16"/>
      <c r="AK595" s="16"/>
      <c r="AL595" s="16"/>
      <c r="AM595" s="16"/>
    </row>
    <row r="596" spans="33:39" ht="12.75">
      <c r="AG596" s="16"/>
      <c r="AH596" s="16"/>
      <c r="AI596" s="16"/>
      <c r="AJ596" s="16"/>
      <c r="AK596" s="16"/>
      <c r="AL596" s="16"/>
      <c r="AM596" s="16"/>
    </row>
    <row r="597" spans="33:39" ht="12.75">
      <c r="AG597" s="16"/>
      <c r="AH597" s="16"/>
      <c r="AI597" s="16"/>
      <c r="AJ597" s="16"/>
      <c r="AK597" s="16"/>
      <c r="AL597" s="16"/>
      <c r="AM597" s="16"/>
    </row>
    <row r="598" spans="33:39" ht="12.75">
      <c r="AG598" s="16"/>
      <c r="AH598" s="16"/>
      <c r="AI598" s="16"/>
      <c r="AJ598" s="16"/>
      <c r="AK598" s="16"/>
      <c r="AL598" s="16"/>
      <c r="AM598" s="16"/>
    </row>
    <row r="599" spans="33:39" ht="12.75">
      <c r="AG599" s="16"/>
      <c r="AH599" s="16"/>
      <c r="AI599" s="16"/>
      <c r="AJ599" s="16"/>
      <c r="AK599" s="16"/>
      <c r="AL599" s="16"/>
      <c r="AM599" s="16"/>
    </row>
    <row r="600" spans="33:39" ht="12.75">
      <c r="AG600" s="16"/>
      <c r="AH600" s="16"/>
      <c r="AI600" s="16"/>
      <c r="AJ600" s="16"/>
      <c r="AK600" s="16"/>
      <c r="AL600" s="16"/>
      <c r="AM600" s="16"/>
    </row>
    <row r="601" spans="33:39" ht="12.75">
      <c r="AG601" s="16"/>
      <c r="AH601" s="16"/>
      <c r="AI601" s="16"/>
      <c r="AJ601" s="16"/>
      <c r="AK601" s="16"/>
      <c r="AL601" s="16"/>
      <c r="AM601" s="16"/>
    </row>
    <row r="602" spans="33:39" ht="12.75">
      <c r="AG602" s="16"/>
      <c r="AH602" s="16"/>
      <c r="AI602" s="16"/>
      <c r="AJ602" s="16"/>
      <c r="AK602" s="16"/>
      <c r="AL602" s="16"/>
      <c r="AM602" s="16"/>
    </row>
    <row r="603" spans="33:39" ht="12.75">
      <c r="AG603" s="16"/>
      <c r="AH603" s="16"/>
      <c r="AI603" s="16"/>
      <c r="AJ603" s="16"/>
      <c r="AK603" s="16"/>
      <c r="AL603" s="16"/>
      <c r="AM603" s="16"/>
    </row>
  </sheetData>
  <printOptions/>
  <pageMargins left="0.75" right="0.75" top="0.5" bottom="0.5" header="0" footer="0.25"/>
  <pageSetup firstPageNumber="36" useFirstPageNumber="1" fitToHeight="0" fitToWidth="0" horizontalDpi="600" verticalDpi="600" orientation="portrait" pageOrder="overThenDown" scale="82" r:id="rId1"/>
  <headerFooter alignWithMargins="0">
    <oddFooter>&amp;C&amp;"Times New Roman,Regular"&amp;11&amp;P</oddFooter>
  </headerFooter>
  <rowBreaks count="1" manualBreakCount="1">
    <brk id="79" max="28" man="1"/>
  </rowBreaks>
  <colBreaks count="1" manualBreakCount="1">
    <brk id="15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 A. Kirkbride</cp:lastModifiedBy>
  <cp:lastPrinted>2008-07-01T11:51:55Z</cp:lastPrinted>
  <dcterms:created xsi:type="dcterms:W3CDTF">2002-06-04T12:17:39Z</dcterms:created>
  <dcterms:modified xsi:type="dcterms:W3CDTF">2008-07-18T15:28:38Z</dcterms:modified>
  <cp:category/>
  <cp:version/>
  <cp:contentType/>
  <cp:contentStatus/>
</cp:coreProperties>
</file>