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tabRatio="769" firstSheet="2" activeTab="8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andfill" sheetId="12" r:id="rId12"/>
    <sheet name="LT _Lia - GA" sheetId="13" r:id="rId13"/>
  </sheets>
  <externalReferences>
    <externalReference r:id="rId16"/>
  </externalReferences>
  <definedNames>
    <definedName name="_xlnm.Print_Area" localSheetId="3">'Gen Fd BS'!$A$9:$O$100</definedName>
    <definedName name="_xlnm.Print_Area" localSheetId="6">'GenExp'!$A$13:$AC$102</definedName>
    <definedName name="_xlnm.Print_Area" localSheetId="5">'GenRev'!$A$11:$Q$101</definedName>
    <definedName name="_xlnm.Print_Area" localSheetId="4">'Gov Fd BS'!$A$1:$T$98</definedName>
    <definedName name="_xlnm.Print_Area" localSheetId="7">'Gov Fd Rv'!$A$12:$Q$102</definedName>
    <definedName name="_xlnm.Print_Area" localSheetId="8">'Gov Fnd Exp'!$A$1:$AC$100</definedName>
    <definedName name="_xlnm.Print_Area" localSheetId="11">'Landfill'!$A$1:$BG$100</definedName>
    <definedName name="_xlnm.Print_Area" localSheetId="12">'LT _Lia - GA'!$A$11:$Q$100</definedName>
    <definedName name="_xlnm.Print_Area" localSheetId="10">'Sewer 1'!$A$1:$BK$95</definedName>
    <definedName name="_xlnm.Print_Area" localSheetId="2">'St of Activities - GA Exp'!$A$1:$Y$99</definedName>
    <definedName name="_xlnm.Print_Area" localSheetId="1">'St of Activities - GA Rev'!$A$1:$Y$99</definedName>
    <definedName name="_xlnm.Print_Area" localSheetId="0">'St of Net Assets - GA'!$A$1:$W$98</definedName>
    <definedName name="_xlnm.Print_Area" localSheetId="9">'Water 1'!$A$1:$BJ$98</definedName>
    <definedName name="_xlnm.Print_Titles" localSheetId="3">'Gen Fd BS'!$1:$9</definedName>
    <definedName name="_xlnm.Print_Titles" localSheetId="6">'GenExp'!$1:$10</definedName>
    <definedName name="_xlnm.Print_Titles" localSheetId="5">'GenRev'!$1:$9</definedName>
    <definedName name="_xlnm.Print_Titles" localSheetId="4">'Gov Fd BS'!$1:$10</definedName>
    <definedName name="_xlnm.Print_Titles" localSheetId="7">'Gov Fd Rv'!$1:$9</definedName>
    <definedName name="_xlnm.Print_Titles" localSheetId="8">'Gov Fnd Exp'!$1:$9</definedName>
    <definedName name="_xlnm.Print_Titles" localSheetId="12">'LT _Lia - GA'!$1:$9</definedName>
    <definedName name="_xlnm.Print_Titles" localSheetId="10">'Sewer 1'!$1:$9</definedName>
    <definedName name="_xlnm.Print_Titles" localSheetId="2">'St of Activities - GA Exp'!$1:$9</definedName>
    <definedName name="_xlnm.Print_Titles" localSheetId="1">'St of Activities - GA Rev'!$1:$9</definedName>
    <definedName name="_xlnm.Print_Titles" localSheetId="0">'St of Net Assets - GA'!$1:$9</definedName>
    <definedName name="_xlnm.Print_Titles" localSheetId="9">'Water 1'!$1:$9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<sst xmlns="http://schemas.openxmlformats.org/spreadsheetml/2006/main" count="2208" uniqueCount="256">
  <si>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</si>
  <si>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</si>
  <si>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</si>
  <si>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</si>
  <si>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</si>
  <si>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</si>
  <si>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</si>
  <si>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</si>
  <si>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</si>
  <si>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</si>
  <si>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</si>
  <si>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</si>
  <si>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</si>
  <si>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</si>
  <si>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</si>
  <si>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</si>
  <si>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</si>
  <si>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</si>
  <si>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</si>
  <si>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</si>
  <si>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</si>
  <si>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</si>
  <si>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</si>
  <si>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</si>
  <si>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</si>
  <si>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</si>
  <si>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</si>
  <si>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</si>
  <si>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</si>
  <si>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</si>
  <si>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</si>
  <si>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</si>
  <si>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</si>
  <si>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</si>
  <si>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</si>
  <si>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</si>
  <si>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</si>
  <si>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</si>
  <si>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</si>
  <si>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</si>
  <si>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</si>
  <si>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</si>
  <si>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</si>
  <si>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</si>
  <si>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</si>
  <si>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</si>
  <si>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</si>
  <si>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</si>
  <si>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</si>
  <si>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</si>
  <si>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</si>
  <si>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</si>
  <si>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</si>
  <si>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</si>
  <si>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</si>
  <si>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</si>
  <si>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</si>
  <si>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</si>
  <si>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</si>
  <si>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</si>
  <si>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</si>
  <si>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</si>
  <si>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</si>
  <si>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</si>
  <si>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</si>
  <si>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</si>
  <si>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</si>
  <si>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</si>
  <si>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</si>
  <si>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</si>
  <si>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</si>
  <si>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</si>
  <si>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</si>
  <si>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</si>
  <si>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</si>
  <si>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</si>
  <si>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</si>
  <si>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</si>
  <si>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</si>
  <si>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</si>
  <si>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</si>
  <si>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</si>
  <si>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</si>
  <si>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</si>
  <si>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</si>
  <si>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</si>
  <si>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</si>
  <si>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</si>
  <si>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</si>
  <si>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</si>
  <si>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</si>
  <si>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</si>
  <si>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</si>
  <si>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</si>
  <si>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</si>
  <si>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</si>
  <si>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</si>
  <si>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</si>
  <si>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</si>
  <si>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</si>
  <si>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</si>
  <si>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</si>
  <si>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</si>
  <si>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</si>
  <si>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</si>
  <si>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</si>
  <si>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</si>
  <si>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</si>
  <si>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</si>
  <si>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</si>
  <si>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</si>
  <si>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</si>
  <si>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</si>
  <si>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</si>
  <si>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</si>
  <si>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</si>
  <si>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</si>
  <si>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Reserved</t>
  </si>
  <si>
    <t>Cash and</t>
  </si>
  <si>
    <t>Deferred</t>
  </si>
  <si>
    <t>Fund</t>
  </si>
  <si>
    <t>Investments</t>
  </si>
  <si>
    <t>Liabilities</t>
  </si>
  <si>
    <t>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</si>
  <si>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</si>
  <si>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</si>
  <si>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</si>
  <si>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</si>
  <si>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</si>
  <si>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</si>
  <si>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</si>
  <si>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</si>
  <si>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</si>
  <si>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>Richland (GASB 34)</t>
  </si>
  <si>
    <t>Lucas (GASB 34)</t>
  </si>
  <si>
    <t>Current</t>
  </si>
  <si>
    <t>Wayne (GASB 34)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</si>
  <si>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</si>
  <si>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</si>
  <si>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</si>
  <si>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</si>
  <si>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</si>
  <si>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</si>
  <si>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</si>
  <si>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</si>
  <si>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</si>
  <si>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</si>
  <si>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</si>
  <si>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</si>
  <si>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</si>
  <si>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</si>
  <si>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</si>
  <si>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</si>
  <si>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</si>
  <si>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</si>
  <si>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</si>
  <si>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</si>
  <si>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</si>
  <si>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</si>
  <si>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</si>
  <si>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</si>
  <si>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</si>
  <si>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</si>
  <si>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</si>
  <si>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</si>
  <si>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</si>
  <si>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</si>
  <si>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</si>
  <si>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</si>
  <si>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Hardin  (cash)</t>
  </si>
  <si>
    <t>Lawrence (cash)</t>
  </si>
  <si>
    <t>Meigs (cash)</t>
  </si>
  <si>
    <t>Champaign  (cash)</t>
  </si>
  <si>
    <t>Champaign (cash)</t>
  </si>
  <si>
    <t>Williams (cash)</t>
  </si>
  <si>
    <t>Wyandot (cash)</t>
  </si>
  <si>
    <t>Putnam (cash)</t>
  </si>
  <si>
    <t>General and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</si>
  <si>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</si>
  <si>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</si>
  <si>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</si>
  <si>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</si>
  <si>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</si>
  <si>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</si>
  <si>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</si>
  <si>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</si>
  <si>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</si>
  <si>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</si>
  <si>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</si>
  <si>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</si>
  <si>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</si>
  <si>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</si>
  <si>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</si>
  <si>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</si>
  <si>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</si>
  <si>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</si>
  <si>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Sewer Enterprise Fund</t>
  </si>
  <si>
    <t>Landfill Enterprise Fund</t>
  </si>
  <si>
    <t>Revenues from the Statement of Activities</t>
  </si>
  <si>
    <t>Summary Data from the General Fund Balance Sheet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</si>
  <si>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</si>
  <si>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</si>
  <si>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</si>
  <si>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Governmental Fund Revenues</t>
  </si>
  <si>
    <t>Due in More</t>
  </si>
  <si>
    <t>Than 1 Year</t>
  </si>
  <si>
    <t>balanced if =0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</si>
  <si>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</si>
  <si>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</si>
  <si>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</si>
  <si>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</si>
  <si>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</si>
  <si>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</si>
  <si>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</si>
  <si>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</si>
  <si>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</si>
  <si>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</si>
  <si>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</si>
  <si>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</si>
  <si>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</si>
  <si>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</si>
  <si>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</si>
  <si>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</si>
  <si>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 xml:space="preserve">Lawrence </t>
  </si>
  <si>
    <t xml:space="preserve">Ottawa </t>
  </si>
  <si>
    <t xml:space="preserve">  </t>
  </si>
  <si>
    <t xml:space="preserve">Greene </t>
  </si>
  <si>
    <t xml:space="preserve"> </t>
  </si>
  <si>
    <t>Taxes (1)</t>
  </si>
  <si>
    <t>(1) May include sales and other taxes if not presented separately</t>
  </si>
  <si>
    <t>(Expenses)</t>
  </si>
  <si>
    <t>Change in</t>
  </si>
  <si>
    <t>Net</t>
  </si>
  <si>
    <t>Expenses from the Statement of Activities</t>
  </si>
  <si>
    <t>Summary Data from the Governmental Fund Balance Sheet</t>
  </si>
  <si>
    <t>Unreserved</t>
  </si>
  <si>
    <t xml:space="preserve">Lawrence (cash) </t>
  </si>
  <si>
    <t>Adams (cash)</t>
  </si>
  <si>
    <t>Butler</t>
  </si>
  <si>
    <t>Fayette (cash)</t>
  </si>
  <si>
    <t>Brown (cash)</t>
  </si>
  <si>
    <t>Jackson (cash)</t>
  </si>
  <si>
    <t xml:space="preserve">Clermont </t>
  </si>
  <si>
    <t xml:space="preserve">Crawford </t>
  </si>
  <si>
    <t>Guernsey (cash)</t>
  </si>
  <si>
    <t>Hamilton (cash)</t>
  </si>
  <si>
    <t xml:space="preserve">Lorain </t>
  </si>
  <si>
    <t>As of December 31, 2007</t>
  </si>
  <si>
    <t>For the Year ended December 31, 2007</t>
  </si>
  <si>
    <t>For the Year Ended December 31, 2007</t>
  </si>
  <si>
    <t>As of Ended December 31, 2007</t>
  </si>
  <si>
    <t>Program Revenues</t>
  </si>
  <si>
    <t xml:space="preserve">Butler </t>
  </si>
  <si>
    <t>(Continued)</t>
  </si>
  <si>
    <t>Statement of Revenues, Expenses, and Changes in Net Assets</t>
  </si>
  <si>
    <t>General Long-Term Obligations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</si>
</sst>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#,##0.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43" applyNumberFormat="1" applyFont="1" applyBorder="1" applyAlignment="1">
      <alignment horizontal="right"/>
    </xf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0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4" fillId="0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Alignment="1">
      <alignment/>
    </xf>
    <xf numFmtId="5" fontId="4" fillId="0" borderId="0" xfId="43" applyNumberFormat="1" applyFont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7" fontId="4" fillId="0" borderId="8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 quotePrefix="1">
      <alignment horizontal="centerContinuous"/>
    </xf>
    <xf numFmtId="37" fontId="4" fillId="0" borderId="9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5" fontId="4" fillId="0" borderId="0" xfId="43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43" applyNumberFormat="1" applyFont="1" applyFill="1" applyBorder="1" applyAlignment="1">
      <alignment horizontal="right"/>
    </xf>
    <xf numFmtId="3" fontId="0" fillId="0" borderId="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3" fontId="4" fillId="0" borderId="0" xfId="43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 vertical="top"/>
    </xf>
    <xf numFmtId="3" fontId="4" fillId="0" borderId="0" xfId="45" applyNumberFormat="1" applyFont="1" applyFill="1" applyBorder="1" applyAlignment="1">
      <alignment/>
    </xf>
    <xf numFmtId="5" fontId="4" fillId="0" borderId="0" xfId="45" applyFont="1" applyFill="1" applyBorder="1" applyAlignment="1">
      <alignment/>
    </xf>
    <xf numFmtId="3" fontId="4" fillId="0" borderId="0" xfId="43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5" fontId="4" fillId="0" borderId="0" xfId="43" applyNumberFormat="1" applyFont="1" applyFill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5" fillId="0" borderId="0" xfId="43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" fontId="0" fillId="0" borderId="0" xfId="43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0" xfId="43" applyNumberFormat="1" applyFont="1" applyFill="1" applyBorder="1" applyAlignment="1">
      <alignment/>
    </xf>
    <xf numFmtId="37" fontId="0" fillId="0" borderId="0" xfId="43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43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43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0" fillId="0" borderId="0" xfId="43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10" fillId="0" borderId="0" xfId="43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Continuous"/>
    </xf>
    <xf numFmtId="0" fontId="9" fillId="0" borderId="0" xfId="0" applyFont="1" applyFill="1" applyBorder="1" applyAlignment="1">
      <alignment/>
    </xf>
    <xf numFmtId="3" fontId="9" fillId="0" borderId="0" xfId="43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43" applyFont="1" applyFill="1" applyBorder="1" applyAlignment="1">
      <alignment/>
    </xf>
    <xf numFmtId="3" fontId="4" fillId="0" borderId="0" xfId="43" applyFont="1" applyFill="1" applyBorder="1" applyAlignment="1">
      <alignment horizontal="center"/>
    </xf>
    <xf numFmtId="3" fontId="0" fillId="0" borderId="0" xfId="43" applyFont="1" applyFill="1" applyBorder="1" applyAlignment="1">
      <alignment/>
    </xf>
    <xf numFmtId="3" fontId="4" fillId="0" borderId="9" xfId="43" applyFont="1" applyFill="1" applyBorder="1" applyAlignment="1">
      <alignment horizontal="center"/>
    </xf>
    <xf numFmtId="3" fontId="4" fillId="0" borderId="0" xfId="43" applyFont="1" applyFill="1" applyBorder="1" applyAlignment="1">
      <alignment horizontal="right"/>
    </xf>
    <xf numFmtId="3" fontId="0" fillId="0" borderId="0" xfId="43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/>
    </xf>
    <xf numFmtId="5" fontId="5" fillId="0" borderId="0" xfId="43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7" fontId="11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 wrapText="1"/>
    </xf>
    <xf numFmtId="37" fontId="13" fillId="0" borderId="0" xfId="0" applyNumberFormat="1" applyFont="1" applyFill="1" applyAlignment="1">
      <alignment/>
    </xf>
    <xf numFmtId="5" fontId="4" fillId="0" borderId="0" xfId="43" applyNumberFormat="1" applyFont="1" applyFill="1" applyAlignment="1">
      <alignment horizontal="right"/>
    </xf>
    <xf numFmtId="5" fontId="0" fillId="0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 vertical="top"/>
    </xf>
    <xf numFmtId="37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2007%20Counties%20for%20Pete's%20Ratios_STE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Sewer 1"/>
      <sheetName val="Landfill"/>
      <sheetName val="LT _Lia - GA"/>
    </sheetNames>
    <sheetDataSet>
      <sheetData sheetId="0">
        <row r="52">
          <cell r="M52">
            <v>39125795</v>
          </cell>
        </row>
        <row r="53">
          <cell r="M53">
            <v>0</v>
          </cell>
        </row>
        <row r="54">
          <cell r="M54">
            <v>11297654</v>
          </cell>
        </row>
        <row r="55">
          <cell r="M55">
            <v>12750906</v>
          </cell>
        </row>
        <row r="56">
          <cell r="M56">
            <v>40265273</v>
          </cell>
        </row>
        <row r="57">
          <cell r="M57">
            <v>87116801</v>
          </cell>
        </row>
        <row r="58">
          <cell r="M58">
            <v>0</v>
          </cell>
        </row>
        <row r="59">
          <cell r="M59">
            <v>40141718</v>
          </cell>
        </row>
        <row r="60">
          <cell r="M60">
            <v>9471416</v>
          </cell>
        </row>
        <row r="61">
          <cell r="M61">
            <v>12944983</v>
          </cell>
        </row>
        <row r="62">
          <cell r="M62">
            <v>0</v>
          </cell>
        </row>
        <row r="64">
          <cell r="M64">
            <v>8160785</v>
          </cell>
        </row>
        <row r="65">
          <cell r="M65">
            <v>550388</v>
          </cell>
        </row>
        <row r="66">
          <cell r="M66">
            <v>67794562</v>
          </cell>
        </row>
        <row r="68">
          <cell r="M68">
            <v>2965648</v>
          </cell>
        </row>
        <row r="69">
          <cell r="M69">
            <v>26171983</v>
          </cell>
        </row>
        <row r="70">
          <cell r="M70">
            <v>1023815</v>
          </cell>
          <cell r="W70">
            <v>29256832</v>
          </cell>
        </row>
        <row r="71">
          <cell r="M71">
            <v>23864419</v>
          </cell>
          <cell r="W71">
            <v>56999052</v>
          </cell>
        </row>
        <row r="74">
          <cell r="M74">
            <v>1370075</v>
          </cell>
          <cell r="W74">
            <v>50473625</v>
          </cell>
        </row>
        <row r="75">
          <cell r="M75">
            <v>0</v>
          </cell>
          <cell r="W75">
            <v>0</v>
          </cell>
        </row>
        <row r="76">
          <cell r="M76">
            <v>17770408</v>
          </cell>
          <cell r="W76">
            <v>156273502</v>
          </cell>
        </row>
        <row r="77">
          <cell r="M77">
            <v>2435281</v>
          </cell>
          <cell r="W77">
            <v>26175550</v>
          </cell>
        </row>
        <row r="78">
          <cell r="M78">
            <v>0</v>
          </cell>
          <cell r="W78">
            <v>0</v>
          </cell>
        </row>
        <row r="79">
          <cell r="M79">
            <v>28420156</v>
          </cell>
          <cell r="W79">
            <v>133304886</v>
          </cell>
        </row>
        <row r="80">
          <cell r="M80">
            <v>12840308</v>
          </cell>
          <cell r="W80">
            <v>38051289</v>
          </cell>
        </row>
        <row r="82">
          <cell r="M82">
            <v>6059406</v>
          </cell>
          <cell r="W82">
            <v>69788249</v>
          </cell>
        </row>
        <row r="83">
          <cell r="M83">
            <v>15698400</v>
          </cell>
          <cell r="W83">
            <v>75881997</v>
          </cell>
        </row>
        <row r="84">
          <cell r="M84">
            <v>6481581</v>
          </cell>
          <cell r="W84">
            <v>82440096</v>
          </cell>
        </row>
        <row r="85">
          <cell r="M85">
            <v>2137411</v>
          </cell>
          <cell r="W85">
            <v>99094356</v>
          </cell>
        </row>
        <row r="86">
          <cell r="M86">
            <v>0</v>
          </cell>
          <cell r="W86">
            <v>0</v>
          </cell>
        </row>
        <row r="87">
          <cell r="M87">
            <v>90132128</v>
          </cell>
          <cell r="W87">
            <v>404794139</v>
          </cell>
        </row>
        <row r="88">
          <cell r="M88">
            <v>45169394</v>
          </cell>
          <cell r="W88">
            <v>122794982</v>
          </cell>
        </row>
        <row r="89">
          <cell r="M89">
            <v>1948559</v>
          </cell>
          <cell r="W89">
            <v>142227042</v>
          </cell>
        </row>
        <row r="90">
          <cell r="M90">
            <v>0</v>
          </cell>
          <cell r="W90">
            <v>0</v>
          </cell>
        </row>
        <row r="91">
          <cell r="W91">
            <v>30540663</v>
          </cell>
        </row>
        <row r="92">
          <cell r="M92">
            <v>0</v>
          </cell>
          <cell r="W92">
            <v>0</v>
          </cell>
        </row>
        <row r="93">
          <cell r="M93">
            <v>28491347</v>
          </cell>
          <cell r="W93">
            <v>197636353</v>
          </cell>
        </row>
        <row r="94">
          <cell r="M94">
            <v>0</v>
          </cell>
          <cell r="W94">
            <v>0</v>
          </cell>
        </row>
        <row r="95">
          <cell r="M95">
            <v>11920211</v>
          </cell>
          <cell r="W95">
            <v>121088314</v>
          </cell>
        </row>
        <row r="96">
          <cell r="M96">
            <v>0</v>
          </cell>
          <cell r="W96">
            <v>0</v>
          </cell>
        </row>
        <row r="97">
          <cell r="M97">
            <v>9581735</v>
          </cell>
          <cell r="W97">
            <v>160026358</v>
          </cell>
        </row>
      </sheetData>
      <sheetData sheetId="2">
        <row r="70">
          <cell r="AE70">
            <v>29256832</v>
          </cell>
        </row>
        <row r="71">
          <cell r="AE71">
            <v>56999052</v>
          </cell>
        </row>
        <row r="72">
          <cell r="AE72">
            <v>0</v>
          </cell>
        </row>
        <row r="73">
          <cell r="AE73">
            <v>0</v>
          </cell>
        </row>
        <row r="74">
          <cell r="AE74">
            <v>50473625</v>
          </cell>
        </row>
        <row r="75">
          <cell r="AE75">
            <v>0</v>
          </cell>
        </row>
        <row r="76">
          <cell r="AE76">
            <v>156273502</v>
          </cell>
        </row>
        <row r="77">
          <cell r="AE77">
            <v>26175550</v>
          </cell>
        </row>
        <row r="78">
          <cell r="AE78">
            <v>0</v>
          </cell>
        </row>
        <row r="79">
          <cell r="AE79">
            <v>133304886</v>
          </cell>
        </row>
        <row r="80">
          <cell r="AE80">
            <v>38051289</v>
          </cell>
        </row>
        <row r="81">
          <cell r="AE81">
            <v>69788249</v>
          </cell>
        </row>
        <row r="82">
          <cell r="AE82">
            <v>75881997</v>
          </cell>
        </row>
        <row r="83">
          <cell r="AE83">
            <v>82440096</v>
          </cell>
        </row>
        <row r="84">
          <cell r="AE84">
            <v>99094356</v>
          </cell>
        </row>
        <row r="85">
          <cell r="AE85">
            <v>0</v>
          </cell>
        </row>
        <row r="87">
          <cell r="AE87">
            <v>404794139</v>
          </cell>
        </row>
        <row r="88">
          <cell r="AE88">
            <v>122794982</v>
          </cell>
        </row>
        <row r="89">
          <cell r="AE89">
            <v>142227042</v>
          </cell>
        </row>
        <row r="90">
          <cell r="AE90">
            <v>0</v>
          </cell>
        </row>
        <row r="91">
          <cell r="AE91">
            <v>30540663</v>
          </cell>
        </row>
        <row r="92">
          <cell r="AE92">
            <v>0</v>
          </cell>
        </row>
        <row r="93">
          <cell r="AE93">
            <v>197636353</v>
          </cell>
        </row>
        <row r="94">
          <cell r="AE94">
            <v>0</v>
          </cell>
        </row>
        <row r="95">
          <cell r="AE95">
            <v>121088314</v>
          </cell>
        </row>
        <row r="96">
          <cell r="AE96">
            <v>0</v>
          </cell>
        </row>
        <row r="97">
          <cell r="AE97">
            <v>160026358</v>
          </cell>
        </row>
      </sheetData>
      <sheetData sheetId="3">
        <row r="52">
          <cell r="O52">
            <v>29263476</v>
          </cell>
        </row>
        <row r="53">
          <cell r="O53">
            <v>0</v>
          </cell>
        </row>
        <row r="54">
          <cell r="O54">
            <v>15926528</v>
          </cell>
        </row>
        <row r="55">
          <cell r="O55">
            <v>2310210</v>
          </cell>
        </row>
        <row r="56">
          <cell r="O56">
            <v>34660137</v>
          </cell>
        </row>
        <row r="57">
          <cell r="O57">
            <v>44364349</v>
          </cell>
        </row>
        <row r="58">
          <cell r="O58">
            <v>0</v>
          </cell>
        </row>
        <row r="59">
          <cell r="O59">
            <v>12092150</v>
          </cell>
        </row>
        <row r="60">
          <cell r="O60">
            <v>7563691</v>
          </cell>
        </row>
        <row r="61">
          <cell r="O61">
            <v>12827446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16598630</v>
          </cell>
        </row>
        <row r="65">
          <cell r="O65">
            <v>254109</v>
          </cell>
        </row>
        <row r="66">
          <cell r="O66">
            <v>53140393</v>
          </cell>
        </row>
        <row r="67">
          <cell r="O67">
            <v>0</v>
          </cell>
        </row>
        <row r="68">
          <cell r="O68">
            <v>1415562</v>
          </cell>
        </row>
        <row r="69">
          <cell r="O69">
            <v>11472446</v>
          </cell>
        </row>
        <row r="70">
          <cell r="O70">
            <v>973224</v>
          </cell>
        </row>
        <row r="71">
          <cell r="O71">
            <v>4019328</v>
          </cell>
        </row>
        <row r="72">
          <cell r="O72">
            <v>0</v>
          </cell>
        </row>
        <row r="73">
          <cell r="O73">
            <v>0</v>
          </cell>
        </row>
        <row r="75">
          <cell r="O75">
            <v>3417066</v>
          </cell>
        </row>
        <row r="76">
          <cell r="O76">
            <v>0</v>
          </cell>
        </row>
        <row r="77">
          <cell r="O77">
            <v>17453771</v>
          </cell>
        </row>
        <row r="78">
          <cell r="O78">
            <v>2164258</v>
          </cell>
        </row>
        <row r="79">
          <cell r="O79">
            <v>0</v>
          </cell>
        </row>
        <row r="80">
          <cell r="O80">
            <v>2413506</v>
          </cell>
        </row>
        <row r="81">
          <cell r="O81">
            <v>3649044</v>
          </cell>
        </row>
        <row r="82">
          <cell r="O82">
            <v>5096461</v>
          </cell>
        </row>
        <row r="83">
          <cell r="O83">
            <v>-1401462</v>
          </cell>
        </row>
        <row r="84">
          <cell r="O84">
            <v>4485457</v>
          </cell>
        </row>
        <row r="85">
          <cell r="O85">
            <v>1525591</v>
          </cell>
        </row>
        <row r="86">
          <cell r="O86">
            <v>0</v>
          </cell>
        </row>
        <row r="87">
          <cell r="O87">
            <v>72832888</v>
          </cell>
        </row>
        <row r="88">
          <cell r="O88">
            <v>7603058</v>
          </cell>
        </row>
        <row r="89">
          <cell r="O89">
            <v>13894307</v>
          </cell>
        </row>
        <row r="90">
          <cell r="O90">
            <v>0</v>
          </cell>
        </row>
        <row r="91">
          <cell r="O91">
            <v>570902</v>
          </cell>
        </row>
        <row r="92">
          <cell r="O92">
            <v>0</v>
          </cell>
        </row>
        <row r="93">
          <cell r="O93">
            <v>23148194</v>
          </cell>
        </row>
        <row r="94">
          <cell r="O94">
            <v>0</v>
          </cell>
        </row>
        <row r="95">
          <cell r="O95">
            <v>8913848</v>
          </cell>
        </row>
        <row r="96">
          <cell r="O96">
            <v>0</v>
          </cell>
        </row>
        <row r="97">
          <cell r="O97">
            <v>18376715</v>
          </cell>
        </row>
      </sheetData>
      <sheetData sheetId="4">
        <row r="52">
          <cell r="O52">
            <v>109237665</v>
          </cell>
        </row>
        <row r="53">
          <cell r="O53">
            <v>0</v>
          </cell>
        </row>
        <row r="54">
          <cell r="O54">
            <v>43898432</v>
          </cell>
        </row>
        <row r="55">
          <cell r="O55">
            <v>17783676</v>
          </cell>
        </row>
        <row r="56">
          <cell r="O56">
            <v>106122537</v>
          </cell>
        </row>
        <row r="57">
          <cell r="O57">
            <v>152340722</v>
          </cell>
        </row>
        <row r="58">
          <cell r="O58">
            <v>0</v>
          </cell>
        </row>
        <row r="59">
          <cell r="O59">
            <v>63603983</v>
          </cell>
        </row>
        <row r="60">
          <cell r="O60">
            <v>25905836</v>
          </cell>
        </row>
        <row r="61">
          <cell r="O61">
            <v>48824043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46311624</v>
          </cell>
        </row>
        <row r="65">
          <cell r="O65">
            <v>5410165</v>
          </cell>
        </row>
        <row r="66">
          <cell r="O66">
            <v>268933030</v>
          </cell>
        </row>
        <row r="67">
          <cell r="O67">
            <v>0</v>
          </cell>
        </row>
        <row r="68">
          <cell r="O68">
            <v>11543987</v>
          </cell>
        </row>
        <row r="69">
          <cell r="O69">
            <v>36529748</v>
          </cell>
        </row>
        <row r="70">
          <cell r="O70">
            <v>5307175</v>
          </cell>
        </row>
        <row r="71">
          <cell r="O71">
            <v>20598997</v>
          </cell>
        </row>
        <row r="72">
          <cell r="O72">
            <v>0</v>
          </cell>
        </row>
        <row r="73">
          <cell r="O73">
            <v>0</v>
          </cell>
        </row>
        <row r="75">
          <cell r="O75">
            <v>15097063</v>
          </cell>
        </row>
        <row r="78">
          <cell r="O78">
            <v>9097635</v>
          </cell>
        </row>
        <row r="79">
          <cell r="O79">
            <v>0</v>
          </cell>
        </row>
        <row r="80">
          <cell r="O80">
            <v>29363723</v>
          </cell>
        </row>
        <row r="81">
          <cell r="O81">
            <v>8913310</v>
          </cell>
        </row>
        <row r="82">
          <cell r="O82">
            <v>24926212</v>
          </cell>
        </row>
        <row r="92">
          <cell r="O92">
            <v>0</v>
          </cell>
        </row>
      </sheetData>
      <sheetData sheetId="5">
        <row r="52">
          <cell r="Q52">
            <v>57314012</v>
          </cell>
          <cell r="S52">
            <v>530212</v>
          </cell>
        </row>
        <row r="53">
          <cell r="Q53">
            <v>0</v>
          </cell>
          <cell r="S53">
            <v>0</v>
          </cell>
        </row>
        <row r="54">
          <cell r="Q54">
            <v>46636765</v>
          </cell>
          <cell r="S54">
            <v>91657</v>
          </cell>
        </row>
        <row r="55">
          <cell r="Q55">
            <v>16481312</v>
          </cell>
          <cell r="S55">
            <v>126200</v>
          </cell>
        </row>
        <row r="56">
          <cell r="Q56">
            <v>56924639</v>
          </cell>
          <cell r="S56">
            <v>40286</v>
          </cell>
        </row>
        <row r="57">
          <cell r="Q57">
            <v>149069914</v>
          </cell>
          <cell r="S57">
            <v>0</v>
          </cell>
        </row>
        <row r="58">
          <cell r="Q58">
            <v>0</v>
          </cell>
          <cell r="S58">
            <v>0</v>
          </cell>
        </row>
        <row r="59">
          <cell r="Q59">
            <v>63128043</v>
          </cell>
          <cell r="S59">
            <v>223141</v>
          </cell>
        </row>
        <row r="60">
          <cell r="Q60">
            <v>17524252</v>
          </cell>
          <cell r="S60">
            <v>47793</v>
          </cell>
        </row>
        <row r="61">
          <cell r="Q61">
            <v>42923719</v>
          </cell>
          <cell r="S61">
            <v>21865</v>
          </cell>
        </row>
        <row r="62">
          <cell r="Q62">
            <v>0</v>
          </cell>
          <cell r="S62">
            <v>0</v>
          </cell>
        </row>
        <row r="64">
          <cell r="Q64">
            <v>25854478</v>
          </cell>
          <cell r="S64">
            <v>316000</v>
          </cell>
        </row>
        <row r="65">
          <cell r="Q65">
            <v>3787329</v>
          </cell>
          <cell r="S65">
            <v>0</v>
          </cell>
        </row>
        <row r="66">
          <cell r="Q66">
            <v>157407099</v>
          </cell>
          <cell r="S66">
            <v>2799981</v>
          </cell>
        </row>
        <row r="68">
          <cell r="Q68">
            <v>8666140</v>
          </cell>
          <cell r="S68">
            <v>56791</v>
          </cell>
        </row>
        <row r="69">
          <cell r="Q69">
            <v>28869458</v>
          </cell>
          <cell r="S69">
            <v>278459</v>
          </cell>
        </row>
        <row r="70">
          <cell r="Q70">
            <v>3073570</v>
          </cell>
          <cell r="S70">
            <v>0</v>
          </cell>
        </row>
        <row r="71">
          <cell r="Q71">
            <v>15408621</v>
          </cell>
          <cell r="S71">
            <v>246161</v>
          </cell>
        </row>
        <row r="75">
          <cell r="Q75">
            <v>11852042</v>
          </cell>
          <cell r="S75">
            <v>0</v>
          </cell>
        </row>
        <row r="76">
          <cell r="Q76">
            <v>0</v>
          </cell>
          <cell r="S76">
            <v>0</v>
          </cell>
        </row>
        <row r="77">
          <cell r="Q77">
            <v>40699355</v>
          </cell>
          <cell r="S77">
            <v>0</v>
          </cell>
        </row>
        <row r="78">
          <cell r="Q78">
            <v>10325148</v>
          </cell>
          <cell r="S78">
            <v>0</v>
          </cell>
        </row>
        <row r="79">
          <cell r="Q79">
            <v>0</v>
          </cell>
          <cell r="S79">
            <v>0</v>
          </cell>
        </row>
        <row r="80">
          <cell r="Q80">
            <v>30679284</v>
          </cell>
          <cell r="S80">
            <v>571712</v>
          </cell>
        </row>
        <row r="81">
          <cell r="Q81">
            <v>19048235</v>
          </cell>
          <cell r="S81">
            <v>92041</v>
          </cell>
        </row>
        <row r="82">
          <cell r="Q82">
            <v>17145657</v>
          </cell>
          <cell r="S82">
            <v>43768</v>
          </cell>
        </row>
        <row r="83">
          <cell r="Q83">
            <v>15943431</v>
          </cell>
          <cell r="S83">
            <v>470103</v>
          </cell>
        </row>
        <row r="84">
          <cell r="Q84">
            <v>17400784</v>
          </cell>
          <cell r="S84">
            <v>133336</v>
          </cell>
        </row>
        <row r="85">
          <cell r="Q85">
            <v>12144385</v>
          </cell>
          <cell r="S85">
            <v>29850</v>
          </cell>
        </row>
        <row r="86">
          <cell r="Q86">
            <v>0</v>
          </cell>
          <cell r="S86">
            <v>0</v>
          </cell>
        </row>
        <row r="87">
          <cell r="Q87">
            <v>119218587</v>
          </cell>
          <cell r="S87">
            <v>63537</v>
          </cell>
        </row>
        <row r="88">
          <cell r="Q88">
            <v>41392315</v>
          </cell>
          <cell r="S88">
            <v>447532</v>
          </cell>
        </row>
        <row r="89">
          <cell r="Q89">
            <v>21639527</v>
          </cell>
          <cell r="S89">
            <v>220153</v>
          </cell>
        </row>
        <row r="90">
          <cell r="Q90">
            <v>0</v>
          </cell>
          <cell r="S90">
            <v>0</v>
          </cell>
        </row>
        <row r="91">
          <cell r="Q91">
            <v>7543517</v>
          </cell>
          <cell r="S91">
            <v>6742</v>
          </cell>
        </row>
        <row r="92">
          <cell r="Q92">
            <v>0</v>
          </cell>
          <cell r="S92">
            <v>0</v>
          </cell>
        </row>
        <row r="93">
          <cell r="Q93">
            <v>62675999</v>
          </cell>
          <cell r="S93">
            <v>20000</v>
          </cell>
        </row>
        <row r="94">
          <cell r="Q94">
            <v>0</v>
          </cell>
          <cell r="S94">
            <v>0</v>
          </cell>
        </row>
        <row r="95">
          <cell r="Q95">
            <v>25719348</v>
          </cell>
          <cell r="S95">
            <v>653</v>
          </cell>
        </row>
        <row r="96">
          <cell r="Q96">
            <v>0</v>
          </cell>
          <cell r="S96">
            <v>0</v>
          </cell>
        </row>
        <row r="97">
          <cell r="Q97">
            <v>38110163</v>
          </cell>
          <cell r="S97">
            <v>12159</v>
          </cell>
        </row>
      </sheetData>
      <sheetData sheetId="6">
        <row r="52">
          <cell r="AC52">
            <v>50869459</v>
          </cell>
        </row>
        <row r="53">
          <cell r="AC53">
            <v>0</v>
          </cell>
        </row>
        <row r="54">
          <cell r="AC54">
            <v>40323179</v>
          </cell>
        </row>
        <row r="55">
          <cell r="AC55">
            <v>13294765</v>
          </cell>
        </row>
        <row r="56">
          <cell r="AC56">
            <v>53753608</v>
          </cell>
        </row>
        <row r="57">
          <cell r="AC57">
            <v>126061839</v>
          </cell>
        </row>
        <row r="58">
          <cell r="AC58">
            <v>0</v>
          </cell>
        </row>
        <row r="59">
          <cell r="AC59">
            <v>55121140</v>
          </cell>
        </row>
        <row r="60">
          <cell r="AC60">
            <v>15339315</v>
          </cell>
        </row>
        <row r="61">
          <cell r="AC61">
            <v>41789965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25637163</v>
          </cell>
        </row>
        <row r="65">
          <cell r="AC65">
            <v>3895722</v>
          </cell>
        </row>
        <row r="66">
          <cell r="AC66">
            <v>123729736</v>
          </cell>
        </row>
        <row r="67">
          <cell r="AC67">
            <v>0</v>
          </cell>
        </row>
        <row r="68">
          <cell r="AC68">
            <v>8737659</v>
          </cell>
        </row>
        <row r="69">
          <cell r="AC69">
            <v>24802153</v>
          </cell>
        </row>
        <row r="70">
          <cell r="AC70">
            <v>2767563</v>
          </cell>
        </row>
        <row r="71">
          <cell r="AC71">
            <v>13913001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11598951</v>
          </cell>
        </row>
        <row r="75">
          <cell r="AC75">
            <v>0</v>
          </cell>
        </row>
        <row r="76">
          <cell r="AC76">
            <v>35528138</v>
          </cell>
        </row>
        <row r="77">
          <cell r="AC77">
            <v>9765203</v>
          </cell>
        </row>
        <row r="78">
          <cell r="AC78">
            <v>0</v>
          </cell>
        </row>
        <row r="79">
          <cell r="AC79">
            <v>29188246</v>
          </cell>
        </row>
        <row r="80">
          <cell r="AC80">
            <v>11176638</v>
          </cell>
        </row>
        <row r="81">
          <cell r="AC81">
            <v>15130606</v>
          </cell>
        </row>
        <row r="82">
          <cell r="AC82">
            <v>15350979</v>
          </cell>
        </row>
        <row r="83">
          <cell r="AC83">
            <v>14692133</v>
          </cell>
        </row>
        <row r="84">
          <cell r="AC84">
            <v>12349155</v>
          </cell>
        </row>
        <row r="85">
          <cell r="AC85">
            <v>0</v>
          </cell>
        </row>
        <row r="86">
          <cell r="AC86">
            <v>115344376</v>
          </cell>
        </row>
        <row r="87">
          <cell r="AC87">
            <v>39413801</v>
          </cell>
        </row>
        <row r="88">
          <cell r="AC88">
            <v>14010096</v>
          </cell>
        </row>
        <row r="90">
          <cell r="AC90">
            <v>0</v>
          </cell>
        </row>
        <row r="91">
          <cell r="AC91">
            <v>7936839</v>
          </cell>
        </row>
        <row r="92">
          <cell r="AC92">
            <v>0</v>
          </cell>
        </row>
        <row r="93">
          <cell r="AC93">
            <v>49793072</v>
          </cell>
        </row>
        <row r="94">
          <cell r="AC94">
            <v>0</v>
          </cell>
        </row>
        <row r="95">
          <cell r="AC95">
            <v>24738838</v>
          </cell>
        </row>
        <row r="96">
          <cell r="AC96">
            <v>0</v>
          </cell>
        </row>
        <row r="97">
          <cell r="AC97">
            <v>32263186</v>
          </cell>
        </row>
      </sheetData>
      <sheetData sheetId="7">
        <row r="52">
          <cell r="Q52">
            <v>180685819</v>
          </cell>
          <cell r="S52">
            <v>13398560</v>
          </cell>
        </row>
        <row r="54">
          <cell r="Q54">
            <v>110806995</v>
          </cell>
          <cell r="S54">
            <v>6413202</v>
          </cell>
        </row>
        <row r="55">
          <cell r="Q55">
            <v>41313645</v>
          </cell>
          <cell r="S55">
            <v>5664075</v>
          </cell>
        </row>
        <row r="56">
          <cell r="Q56">
            <v>235216303</v>
          </cell>
          <cell r="S56">
            <v>9366196</v>
          </cell>
        </row>
        <row r="57">
          <cell r="Q57">
            <v>525686458</v>
          </cell>
          <cell r="S57">
            <v>34089655</v>
          </cell>
        </row>
        <row r="58">
          <cell r="Q58">
            <v>0</v>
          </cell>
          <cell r="S58">
            <v>0</v>
          </cell>
        </row>
        <row r="59">
          <cell r="Q59">
            <v>200386048</v>
          </cell>
          <cell r="S59">
            <v>13434145</v>
          </cell>
        </row>
        <row r="60">
          <cell r="Q60">
            <v>50576920</v>
          </cell>
          <cell r="S60">
            <v>14105722</v>
          </cell>
        </row>
        <row r="61">
          <cell r="Q61">
            <v>110742215</v>
          </cell>
          <cell r="S61">
            <v>2974471</v>
          </cell>
        </row>
        <row r="64">
          <cell r="Q64">
            <v>70999412</v>
          </cell>
          <cell r="S64">
            <v>1452375</v>
          </cell>
        </row>
        <row r="65">
          <cell r="Q65">
            <v>15796945</v>
          </cell>
          <cell r="S65">
            <v>157708</v>
          </cell>
        </row>
        <row r="66">
          <cell r="Q66">
            <v>541221831</v>
          </cell>
          <cell r="S66">
            <v>126948844</v>
          </cell>
        </row>
        <row r="68">
          <cell r="Q68">
            <v>27609903</v>
          </cell>
          <cell r="S68">
            <v>3630050</v>
          </cell>
        </row>
        <row r="69">
          <cell r="Q69">
            <v>81746779</v>
          </cell>
          <cell r="S69">
            <v>5095504</v>
          </cell>
        </row>
        <row r="70">
          <cell r="Q70">
            <v>12635709</v>
          </cell>
          <cell r="S70">
            <v>96439</v>
          </cell>
        </row>
        <row r="71">
          <cell r="Q71">
            <v>42775866</v>
          </cell>
          <cell r="S71">
            <v>4340954</v>
          </cell>
        </row>
        <row r="74">
          <cell r="Q74">
            <v>37904575</v>
          </cell>
          <cell r="S74">
            <v>707786</v>
          </cell>
        </row>
        <row r="76">
          <cell r="Q76">
            <v>125649890</v>
          </cell>
          <cell r="S76">
            <v>2951848</v>
          </cell>
        </row>
        <row r="77">
          <cell r="Q77">
            <v>28871929</v>
          </cell>
          <cell r="S77">
            <v>2115253</v>
          </cell>
        </row>
        <row r="78">
          <cell r="Q78">
            <v>0</v>
          </cell>
          <cell r="S78">
            <v>0</v>
          </cell>
        </row>
        <row r="79">
          <cell r="Q79">
            <v>107868227</v>
          </cell>
          <cell r="S79">
            <v>28043876</v>
          </cell>
        </row>
        <row r="80">
          <cell r="Q80">
            <v>57013580</v>
          </cell>
          <cell r="S80">
            <v>11102325</v>
          </cell>
        </row>
        <row r="81">
          <cell r="Q81">
            <v>50830457</v>
          </cell>
          <cell r="S81">
            <v>2778130</v>
          </cell>
        </row>
        <row r="92">
          <cell r="Q92">
            <v>0</v>
          </cell>
          <cell r="S92">
            <v>0</v>
          </cell>
        </row>
      </sheetData>
      <sheetData sheetId="8">
        <row r="52">
          <cell r="AC52">
            <v>181122390</v>
          </cell>
        </row>
        <row r="53">
          <cell r="AC53">
            <v>0</v>
          </cell>
        </row>
        <row r="54">
          <cell r="AC54">
            <v>106186650</v>
          </cell>
        </row>
        <row r="55">
          <cell r="AC55">
            <v>40673708</v>
          </cell>
        </row>
        <row r="56">
          <cell r="AC56">
            <v>241194263</v>
          </cell>
        </row>
        <row r="57">
          <cell r="AC57">
            <v>545328521</v>
          </cell>
        </row>
        <row r="58">
          <cell r="AC58">
            <v>0</v>
          </cell>
        </row>
        <row r="59">
          <cell r="AC59">
            <v>208276376</v>
          </cell>
        </row>
        <row r="60">
          <cell r="AC60">
            <v>51081076</v>
          </cell>
        </row>
        <row r="61">
          <cell r="AC61">
            <v>110173145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71862734</v>
          </cell>
        </row>
        <row r="65">
          <cell r="AC65">
            <v>15493678</v>
          </cell>
        </row>
        <row r="66">
          <cell r="AC66">
            <v>530443241</v>
          </cell>
        </row>
        <row r="67">
          <cell r="AC67">
            <v>0</v>
          </cell>
        </row>
        <row r="68">
          <cell r="AC68">
            <v>29632137</v>
          </cell>
        </row>
        <row r="69">
          <cell r="AC69">
            <v>81112356</v>
          </cell>
        </row>
        <row r="70">
          <cell r="AC70">
            <v>12343270</v>
          </cell>
        </row>
        <row r="71">
          <cell r="AC71">
            <v>44533347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34982022</v>
          </cell>
        </row>
        <row r="76">
          <cell r="AC76">
            <v>110778361</v>
          </cell>
        </row>
        <row r="77">
          <cell r="AC77">
            <v>29110041</v>
          </cell>
        </row>
        <row r="78">
          <cell r="AC78">
            <v>0</v>
          </cell>
        </row>
        <row r="79">
          <cell r="AC79">
            <v>142283166</v>
          </cell>
        </row>
        <row r="80">
          <cell r="AC80">
            <v>58296221</v>
          </cell>
        </row>
        <row r="81">
          <cell r="AC81">
            <v>49319480</v>
          </cell>
        </row>
        <row r="92">
          <cell r="AC92">
            <v>0</v>
          </cell>
        </row>
      </sheetData>
      <sheetData sheetId="12">
        <row r="52">
          <cell r="S52">
            <v>3639830</v>
          </cell>
        </row>
        <row r="53">
          <cell r="S53">
            <v>0</v>
          </cell>
        </row>
        <row r="54">
          <cell r="S54">
            <v>2973159</v>
          </cell>
        </row>
        <row r="55">
          <cell r="S55">
            <v>1460963</v>
          </cell>
        </row>
        <row r="56">
          <cell r="S56">
            <v>6629055</v>
          </cell>
        </row>
        <row r="57">
          <cell r="S57">
            <v>23283846</v>
          </cell>
        </row>
        <row r="59">
          <cell r="S59">
            <v>9109862</v>
          </cell>
        </row>
        <row r="60">
          <cell r="S60">
            <v>1136059</v>
          </cell>
        </row>
        <row r="61">
          <cell r="S61">
            <v>2527110</v>
          </cell>
        </row>
        <row r="62">
          <cell r="S62">
            <v>0</v>
          </cell>
        </row>
        <row r="64">
          <cell r="S64">
            <v>2193266</v>
          </cell>
        </row>
        <row r="65">
          <cell r="S65">
            <v>255132</v>
          </cell>
        </row>
        <row r="66">
          <cell r="S66">
            <v>15707132</v>
          </cell>
        </row>
        <row r="68">
          <cell r="S68">
            <v>3498264</v>
          </cell>
        </row>
        <row r="69">
          <cell r="S69">
            <v>4014185</v>
          </cell>
        </row>
        <row r="70">
          <cell r="S70">
            <v>251284</v>
          </cell>
        </row>
        <row r="71">
          <cell r="S71">
            <v>3124193</v>
          </cell>
        </row>
        <row r="75">
          <cell r="S75">
            <v>1345009</v>
          </cell>
        </row>
        <row r="76">
          <cell r="S76">
            <v>0</v>
          </cell>
        </row>
        <row r="77">
          <cell r="S77">
            <v>3435284</v>
          </cell>
        </row>
        <row r="78">
          <cell r="S78">
            <v>1018872</v>
          </cell>
        </row>
        <row r="79">
          <cell r="S79">
            <v>0</v>
          </cell>
        </row>
        <row r="80">
          <cell r="S80">
            <v>4118293</v>
          </cell>
        </row>
        <row r="81">
          <cell r="S81">
            <v>1730802</v>
          </cell>
        </row>
        <row r="82">
          <cell r="S82">
            <v>1541691</v>
          </cell>
        </row>
        <row r="83">
          <cell r="S83">
            <v>2570023</v>
          </cell>
        </row>
        <row r="84">
          <cell r="S84">
            <v>1440770</v>
          </cell>
        </row>
        <row r="85">
          <cell r="S85">
            <v>306763</v>
          </cell>
        </row>
        <row r="86">
          <cell r="S86">
            <v>0</v>
          </cell>
        </row>
        <row r="87">
          <cell r="S87">
            <v>13763467</v>
          </cell>
        </row>
        <row r="88">
          <cell r="S88">
            <v>3011298</v>
          </cell>
        </row>
        <row r="89">
          <cell r="S89">
            <v>724735</v>
          </cell>
        </row>
        <row r="90">
          <cell r="S90">
            <v>0</v>
          </cell>
        </row>
        <row r="92">
          <cell r="S92">
            <v>0</v>
          </cell>
        </row>
        <row r="93">
          <cell r="S93">
            <v>3096637</v>
          </cell>
        </row>
        <row r="94">
          <cell r="S94">
            <v>0</v>
          </cell>
        </row>
        <row r="95">
          <cell r="S95">
            <v>1432895</v>
          </cell>
        </row>
        <row r="96">
          <cell r="S96">
            <v>0</v>
          </cell>
        </row>
        <row r="97">
          <cell r="S97">
            <v>2727818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AA115"/>
  <sheetViews>
    <sheetView zoomScalePageLayoutView="0" workbookViewId="0" topLeftCell="A1">
      <pane xSplit="1" ySplit="8" topLeftCell="B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6" sqref="E66"/>
    </sheetView>
  </sheetViews>
  <sheetFormatPr defaultColWidth="9.140625" defaultRowHeight="12.75"/>
  <cols>
    <col min="1" max="1" width="15.7109375" style="93" customWidth="1"/>
    <col min="2" max="2" width="1.7109375" style="93" customWidth="1"/>
    <col min="3" max="3" width="11.7109375" style="127" customWidth="1"/>
    <col min="4" max="4" width="1.7109375" style="95" customWidth="1"/>
    <col min="5" max="5" width="11.7109375" style="95" customWidth="1"/>
    <col min="6" max="6" width="1.7109375" style="95" customWidth="1"/>
    <col min="7" max="7" width="11.7109375" style="95" customWidth="1"/>
    <col min="8" max="8" width="1.7109375" style="95" customWidth="1"/>
    <col min="9" max="9" width="11.7109375" style="95" customWidth="1"/>
    <col min="10" max="10" width="1.8515625" style="95" customWidth="1"/>
    <col min="11" max="11" width="11.7109375" style="24" customWidth="1"/>
    <col min="12" max="12" width="1.7109375" style="24" customWidth="1"/>
    <col min="13" max="13" width="11.7109375" style="24" customWidth="1"/>
    <col min="14" max="14" width="1.7109375" style="24" customWidth="1"/>
    <col min="15" max="15" width="11.7109375" style="24" customWidth="1"/>
    <col min="16" max="16" width="1.7109375" style="24" customWidth="1"/>
    <col min="17" max="17" width="11.7109375" style="24" customWidth="1"/>
    <col min="18" max="18" width="1.7109375" style="24" customWidth="1"/>
    <col min="19" max="19" width="11.7109375" style="24" customWidth="1"/>
    <col min="20" max="20" width="1.7109375" style="24" customWidth="1"/>
    <col min="21" max="21" width="11.7109375" style="24" customWidth="1"/>
    <col min="22" max="22" width="1.7109375" style="24" customWidth="1"/>
    <col min="23" max="23" width="12.7109375" style="24" customWidth="1"/>
    <col min="24" max="24" width="2.7109375" style="127" customWidth="1"/>
    <col min="25" max="25" width="15.7109375" style="93" customWidth="1"/>
    <col min="26" max="16384" width="9.140625" style="92" customWidth="1"/>
  </cols>
  <sheetData>
    <row r="1" spans="1:25" ht="12">
      <c r="A1" s="49" t="s">
        <v>137</v>
      </c>
      <c r="B1" s="33"/>
      <c r="C1" s="24"/>
      <c r="D1" s="5"/>
      <c r="E1" s="5"/>
      <c r="F1" s="5"/>
      <c r="G1" s="5"/>
      <c r="H1" s="5"/>
      <c r="I1" s="5"/>
      <c r="J1" s="5"/>
      <c r="X1" s="24"/>
      <c r="Y1" s="33"/>
    </row>
    <row r="2" spans="1:25" ht="12">
      <c r="A2" s="49" t="s">
        <v>247</v>
      </c>
      <c r="B2" s="33"/>
      <c r="C2" s="24"/>
      <c r="D2" s="5"/>
      <c r="E2" s="5"/>
      <c r="F2" s="5"/>
      <c r="G2" s="5"/>
      <c r="H2" s="5"/>
      <c r="I2" s="5"/>
      <c r="J2" s="5"/>
      <c r="X2" s="24"/>
      <c r="Y2" s="33"/>
    </row>
    <row r="3" spans="1:25" ht="12">
      <c r="A3" s="49"/>
      <c r="B3" s="33"/>
      <c r="C3" s="24"/>
      <c r="D3" s="5"/>
      <c r="E3" s="5"/>
      <c r="F3" s="5"/>
      <c r="G3" s="5"/>
      <c r="H3" s="5"/>
      <c r="I3" s="5"/>
      <c r="J3" s="5"/>
      <c r="X3" s="24"/>
      <c r="Y3" s="33"/>
    </row>
    <row r="4" spans="1:25" ht="12">
      <c r="A4" s="49" t="s">
        <v>184</v>
      </c>
      <c r="B4" s="33"/>
      <c r="C4" s="24"/>
      <c r="D4" s="5"/>
      <c r="E4" s="5"/>
      <c r="F4" s="5"/>
      <c r="G4" s="5"/>
      <c r="H4" s="5"/>
      <c r="I4" s="5"/>
      <c r="J4" s="5"/>
      <c r="X4" s="24"/>
      <c r="Y4" s="33"/>
    </row>
    <row r="5" spans="1:25" ht="12">
      <c r="A5" s="33"/>
      <c r="B5" s="33"/>
      <c r="C5" s="24"/>
      <c r="D5" s="5"/>
      <c r="E5" s="5"/>
      <c r="F5" s="5"/>
      <c r="G5" s="5"/>
      <c r="H5" s="5"/>
      <c r="I5" s="5"/>
      <c r="J5" s="5"/>
      <c r="X5" s="24"/>
      <c r="Y5" s="33"/>
    </row>
    <row r="6" spans="1:25" ht="12">
      <c r="A6" s="49" t="s">
        <v>253</v>
      </c>
      <c r="B6" s="33"/>
      <c r="C6" s="50" t="s">
        <v>116</v>
      </c>
      <c r="D6" s="10"/>
      <c r="E6" s="10"/>
      <c r="F6" s="10"/>
      <c r="G6" s="10"/>
      <c r="H6" s="10"/>
      <c r="I6" s="10"/>
      <c r="J6" s="5"/>
      <c r="K6" s="50" t="s">
        <v>122</v>
      </c>
      <c r="L6" s="50"/>
      <c r="M6" s="50"/>
      <c r="N6" s="50"/>
      <c r="O6" s="50"/>
      <c r="Q6" s="50" t="s">
        <v>138</v>
      </c>
      <c r="R6" s="50"/>
      <c r="S6" s="50"/>
      <c r="T6" s="50"/>
      <c r="U6" s="50"/>
      <c r="V6" s="50"/>
      <c r="W6" s="50"/>
      <c r="X6" s="24"/>
      <c r="Y6" s="33"/>
    </row>
    <row r="7" spans="1:25" ht="12">
      <c r="A7" s="19"/>
      <c r="B7" s="19"/>
      <c r="C7" s="52" t="s">
        <v>135</v>
      </c>
      <c r="D7" s="12"/>
      <c r="E7" s="12" t="s">
        <v>87</v>
      </c>
      <c r="F7" s="12"/>
      <c r="G7" s="12" t="s">
        <v>119</v>
      </c>
      <c r="H7" s="12"/>
      <c r="I7" s="12" t="s">
        <v>4</v>
      </c>
      <c r="J7" s="5"/>
      <c r="K7" s="52" t="s">
        <v>135</v>
      </c>
      <c r="L7" s="52"/>
      <c r="M7" s="52" t="s">
        <v>204</v>
      </c>
      <c r="N7" s="52"/>
      <c r="O7" s="52" t="s">
        <v>4</v>
      </c>
      <c r="Q7" s="21" t="s">
        <v>139</v>
      </c>
      <c r="R7" s="21"/>
      <c r="S7" s="21"/>
      <c r="T7" s="21"/>
      <c r="U7" s="21"/>
      <c r="V7" s="21"/>
      <c r="W7" s="52" t="s">
        <v>4</v>
      </c>
      <c r="X7" s="24"/>
      <c r="Y7" s="33"/>
    </row>
    <row r="8" spans="1:25" ht="12">
      <c r="A8" s="22" t="s">
        <v>5</v>
      </c>
      <c r="B8" s="19"/>
      <c r="C8" s="20" t="s">
        <v>116</v>
      </c>
      <c r="D8" s="13"/>
      <c r="E8" s="15" t="s">
        <v>116</v>
      </c>
      <c r="F8" s="13"/>
      <c r="G8" s="15" t="s">
        <v>140</v>
      </c>
      <c r="H8" s="13"/>
      <c r="I8" s="15" t="s">
        <v>116</v>
      </c>
      <c r="J8" s="11"/>
      <c r="K8" s="20" t="s">
        <v>122</v>
      </c>
      <c r="L8" s="21"/>
      <c r="M8" s="20" t="s">
        <v>205</v>
      </c>
      <c r="N8" s="21"/>
      <c r="O8" s="20" t="s">
        <v>122</v>
      </c>
      <c r="P8" s="17"/>
      <c r="Q8" s="20" t="s">
        <v>141</v>
      </c>
      <c r="R8" s="21"/>
      <c r="S8" s="20" t="s">
        <v>142</v>
      </c>
      <c r="T8" s="21"/>
      <c r="U8" s="20" t="s">
        <v>143</v>
      </c>
      <c r="V8" s="21"/>
      <c r="W8" s="20" t="s">
        <v>138</v>
      </c>
      <c r="X8" s="24"/>
      <c r="Y8" s="33" t="s">
        <v>206</v>
      </c>
    </row>
    <row r="9" spans="1:25" ht="10.5" customHeight="1">
      <c r="A9" s="19"/>
      <c r="B9" s="19"/>
      <c r="C9" s="21"/>
      <c r="D9" s="13"/>
      <c r="E9" s="13"/>
      <c r="F9" s="13"/>
      <c r="G9" s="13"/>
      <c r="H9" s="13"/>
      <c r="I9" s="13"/>
      <c r="J9" s="5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4"/>
      <c r="Y9" s="33"/>
    </row>
    <row r="10" spans="1:25" ht="12" hidden="1">
      <c r="A10" s="23" t="s">
        <v>237</v>
      </c>
      <c r="B10" s="19"/>
      <c r="C10" s="44">
        <f aca="true" t="shared" si="0" ref="C10:C28">+I10-E10-G10</f>
        <v>0</v>
      </c>
      <c r="D10" s="44"/>
      <c r="E10" s="44">
        <v>0</v>
      </c>
      <c r="F10" s="44"/>
      <c r="G10" s="44">
        <v>0</v>
      </c>
      <c r="H10" s="44"/>
      <c r="I10" s="44">
        <v>0</v>
      </c>
      <c r="J10" s="44"/>
      <c r="K10" s="44">
        <f aca="true" t="shared" si="1" ref="K10:K28">+O10-M10</f>
        <v>0</v>
      </c>
      <c r="L10" s="44"/>
      <c r="M10" s="44">
        <v>0</v>
      </c>
      <c r="N10" s="44"/>
      <c r="O10" s="44">
        <v>0</v>
      </c>
      <c r="P10" s="44"/>
      <c r="Q10" s="44">
        <v>0</v>
      </c>
      <c r="R10" s="44"/>
      <c r="S10" s="44">
        <f>W10-U10-Q10</f>
        <v>0</v>
      </c>
      <c r="T10" s="44"/>
      <c r="U10" s="44">
        <v>0</v>
      </c>
      <c r="V10" s="44"/>
      <c r="W10" s="44">
        <v>0</v>
      </c>
      <c r="X10" s="24"/>
      <c r="Y10" s="44">
        <f>I10-O10-W10</f>
        <v>0</v>
      </c>
    </row>
    <row r="11" spans="1:25" s="93" customFormat="1" ht="12">
      <c r="A11" s="23" t="s">
        <v>13</v>
      </c>
      <c r="B11" s="23"/>
      <c r="C11" s="44">
        <f>+I11-E11-G11</f>
        <v>64126220</v>
      </c>
      <c r="D11" s="44"/>
      <c r="E11" s="44">
        <f>5537015+46133016</f>
        <v>51670031</v>
      </c>
      <c r="F11" s="44"/>
      <c r="G11" s="44">
        <v>0</v>
      </c>
      <c r="H11" s="44"/>
      <c r="I11" s="44">
        <v>115796251</v>
      </c>
      <c r="J11" s="44"/>
      <c r="K11" s="44">
        <f>+O11-M11</f>
        <v>26483031</v>
      </c>
      <c r="L11" s="44"/>
      <c r="M11" s="44">
        <v>19514966</v>
      </c>
      <c r="N11" s="44"/>
      <c r="O11" s="44">
        <v>45997997</v>
      </c>
      <c r="P11" s="44"/>
      <c r="Q11" s="44">
        <v>38009337</v>
      </c>
      <c r="R11" s="44"/>
      <c r="S11" s="44">
        <f>W11-U11-Q11</f>
        <v>29651889</v>
      </c>
      <c r="T11" s="44"/>
      <c r="U11" s="44">
        <v>2137028</v>
      </c>
      <c r="V11" s="44"/>
      <c r="W11" s="44">
        <v>69798254</v>
      </c>
      <c r="X11" s="24"/>
      <c r="Y11" s="44">
        <f>I11-O11-W11</f>
        <v>0</v>
      </c>
    </row>
    <row r="12" spans="1:25" s="93" customFormat="1" ht="12">
      <c r="A12" s="23" t="s">
        <v>14</v>
      </c>
      <c r="B12" s="23"/>
      <c r="C12" s="24">
        <f t="shared" si="0"/>
        <v>30217447</v>
      </c>
      <c r="D12" s="24"/>
      <c r="E12" s="24">
        <f>1122053+43215785</f>
        <v>44337838</v>
      </c>
      <c r="F12" s="24"/>
      <c r="G12" s="24">
        <v>0</v>
      </c>
      <c r="H12" s="24"/>
      <c r="I12" s="24">
        <v>74555285</v>
      </c>
      <c r="J12" s="24"/>
      <c r="K12" s="24">
        <f t="shared" si="1"/>
        <v>10220743</v>
      </c>
      <c r="L12" s="24"/>
      <c r="M12" s="24">
        <v>4091802</v>
      </c>
      <c r="N12" s="24"/>
      <c r="O12" s="24">
        <v>14312545</v>
      </c>
      <c r="P12" s="24"/>
      <c r="Q12" s="24">
        <v>40490281</v>
      </c>
      <c r="R12" s="24"/>
      <c r="S12" s="24">
        <f aca="true" t="shared" si="2" ref="S12:S28">W12-U12-Q12</f>
        <v>15478776</v>
      </c>
      <c r="T12" s="24"/>
      <c r="U12" s="24">
        <v>4273683</v>
      </c>
      <c r="V12" s="24"/>
      <c r="W12" s="24">
        <v>60242740</v>
      </c>
      <c r="X12" s="24"/>
      <c r="Y12" s="24">
        <f aca="true" t="shared" si="3" ref="Y12:Y28">I12-O12-W12</f>
        <v>0</v>
      </c>
    </row>
    <row r="13" spans="1:25" s="93" customFormat="1" ht="12">
      <c r="A13" s="23" t="s">
        <v>15</v>
      </c>
      <c r="B13" s="23"/>
      <c r="C13" s="24">
        <f t="shared" si="0"/>
        <v>65077639</v>
      </c>
      <c r="D13" s="24"/>
      <c r="E13" s="24">
        <f>110701256+28851466</f>
        <v>139552722</v>
      </c>
      <c r="F13" s="24"/>
      <c r="G13" s="24">
        <v>0</v>
      </c>
      <c r="H13" s="24"/>
      <c r="I13" s="24">
        <v>204630361</v>
      </c>
      <c r="J13" s="24"/>
      <c r="K13" s="24">
        <f t="shared" si="1"/>
        <v>23175483</v>
      </c>
      <c r="L13" s="24"/>
      <c r="M13" s="24">
        <v>6656152</v>
      </c>
      <c r="N13" s="24"/>
      <c r="O13" s="24">
        <v>29831635</v>
      </c>
      <c r="P13" s="24"/>
      <c r="Q13" s="24">
        <v>133380908</v>
      </c>
      <c r="R13" s="24"/>
      <c r="S13" s="24">
        <f t="shared" si="2"/>
        <v>36831350</v>
      </c>
      <c r="T13" s="24"/>
      <c r="U13" s="24">
        <v>4586468</v>
      </c>
      <c r="V13" s="24"/>
      <c r="W13" s="24">
        <v>174798726</v>
      </c>
      <c r="X13" s="24"/>
      <c r="Y13" s="24">
        <f t="shared" si="3"/>
        <v>0</v>
      </c>
    </row>
    <row r="14" spans="1:25" s="93" customFormat="1" ht="12">
      <c r="A14" s="23" t="s">
        <v>16</v>
      </c>
      <c r="B14" s="23"/>
      <c r="C14" s="24">
        <f t="shared" si="0"/>
        <v>36728452</v>
      </c>
      <c r="D14" s="24"/>
      <c r="E14" s="24">
        <f>1224661+63023616</f>
        <v>64248277</v>
      </c>
      <c r="F14" s="24"/>
      <c r="G14" s="24">
        <v>0</v>
      </c>
      <c r="H14" s="24"/>
      <c r="I14" s="24">
        <v>100976729</v>
      </c>
      <c r="J14" s="24"/>
      <c r="K14" s="24">
        <f t="shared" si="1"/>
        <v>14711783</v>
      </c>
      <c r="L14" s="24"/>
      <c r="M14" s="24">
        <v>6562378</v>
      </c>
      <c r="N14" s="24"/>
      <c r="O14" s="24">
        <v>21274161</v>
      </c>
      <c r="P14" s="24"/>
      <c r="Q14" s="24">
        <v>61631031</v>
      </c>
      <c r="R14" s="24"/>
      <c r="S14" s="24">
        <f t="shared" si="2"/>
        <v>17644716</v>
      </c>
      <c r="T14" s="24"/>
      <c r="U14" s="24">
        <v>426821</v>
      </c>
      <c r="V14" s="24"/>
      <c r="W14" s="24">
        <v>79702568</v>
      </c>
      <c r="X14" s="24"/>
      <c r="Y14" s="24">
        <f t="shared" si="3"/>
        <v>0</v>
      </c>
    </row>
    <row r="15" spans="1:25" s="93" customFormat="1" ht="12">
      <c r="A15" s="23" t="s">
        <v>17</v>
      </c>
      <c r="B15" s="23"/>
      <c r="C15" s="24">
        <f t="shared" si="0"/>
        <v>35995676</v>
      </c>
      <c r="D15" s="24"/>
      <c r="E15" s="24">
        <f>2501056+28664513</f>
        <v>31165569</v>
      </c>
      <c r="F15" s="24"/>
      <c r="G15" s="24">
        <v>0</v>
      </c>
      <c r="H15" s="24"/>
      <c r="I15" s="24">
        <v>67161245</v>
      </c>
      <c r="J15" s="24"/>
      <c r="K15" s="24">
        <f t="shared" si="1"/>
        <v>9657074</v>
      </c>
      <c r="L15" s="24"/>
      <c r="M15" s="24">
        <v>2682933</v>
      </c>
      <c r="N15" s="24"/>
      <c r="O15" s="24">
        <v>12340007</v>
      </c>
      <c r="P15" s="24"/>
      <c r="Q15" s="24">
        <v>30785565</v>
      </c>
      <c r="R15" s="24"/>
      <c r="S15" s="24">
        <f t="shared" si="2"/>
        <v>19786427</v>
      </c>
      <c r="T15" s="24"/>
      <c r="U15" s="24">
        <v>4249246</v>
      </c>
      <c r="V15" s="24"/>
      <c r="W15" s="24">
        <v>54821238</v>
      </c>
      <c r="X15" s="24"/>
      <c r="Y15" s="24">
        <f t="shared" si="3"/>
        <v>0</v>
      </c>
    </row>
    <row r="16" spans="1:25" s="93" customFormat="1" ht="12">
      <c r="A16" s="23" t="s">
        <v>18</v>
      </c>
      <c r="B16" s="23"/>
      <c r="C16" s="24">
        <f t="shared" si="0"/>
        <v>58104815</v>
      </c>
      <c r="D16" s="24"/>
      <c r="E16" s="24">
        <f>16306901+53545510</f>
        <v>69852411</v>
      </c>
      <c r="F16" s="24"/>
      <c r="G16" s="24">
        <v>149383</v>
      </c>
      <c r="H16" s="24"/>
      <c r="I16" s="24">
        <v>128106609</v>
      </c>
      <c r="J16" s="24"/>
      <c r="K16" s="24">
        <f t="shared" si="1"/>
        <v>17929179</v>
      </c>
      <c r="L16" s="24"/>
      <c r="M16" s="24">
        <v>8980958</v>
      </c>
      <c r="N16" s="24"/>
      <c r="O16" s="24">
        <v>26910137</v>
      </c>
      <c r="P16" s="24"/>
      <c r="Q16" s="24">
        <v>59432795</v>
      </c>
      <c r="R16" s="24"/>
      <c r="S16" s="24">
        <f t="shared" si="2"/>
        <v>29037187</v>
      </c>
      <c r="T16" s="24"/>
      <c r="U16" s="24">
        <v>12726490</v>
      </c>
      <c r="V16" s="24"/>
      <c r="W16" s="24">
        <v>101196472</v>
      </c>
      <c r="X16" s="24"/>
      <c r="Y16" s="24">
        <f t="shared" si="3"/>
        <v>0</v>
      </c>
    </row>
    <row r="17" spans="1:25" s="93" customFormat="1" ht="12" hidden="1">
      <c r="A17" s="23" t="s">
        <v>240</v>
      </c>
      <c r="B17" s="23"/>
      <c r="C17" s="24">
        <f t="shared" si="0"/>
        <v>0</v>
      </c>
      <c r="D17" s="24"/>
      <c r="E17" s="24"/>
      <c r="F17" s="24"/>
      <c r="G17" s="24"/>
      <c r="H17" s="24"/>
      <c r="I17" s="24"/>
      <c r="J17" s="24"/>
      <c r="K17" s="24">
        <f t="shared" si="1"/>
        <v>0</v>
      </c>
      <c r="L17" s="24"/>
      <c r="M17" s="24"/>
      <c r="N17" s="24"/>
      <c r="O17" s="24"/>
      <c r="P17" s="24"/>
      <c r="Q17" s="24"/>
      <c r="R17" s="24"/>
      <c r="S17" s="24">
        <f t="shared" si="2"/>
        <v>0</v>
      </c>
      <c r="T17" s="24"/>
      <c r="U17" s="24"/>
      <c r="V17" s="24"/>
      <c r="W17" s="24"/>
      <c r="X17" s="24"/>
      <c r="Y17" s="24">
        <f t="shared" si="3"/>
        <v>0</v>
      </c>
    </row>
    <row r="18" spans="1:25" s="93" customFormat="1" ht="12">
      <c r="A18" s="23" t="s">
        <v>238</v>
      </c>
      <c r="B18" s="23"/>
      <c r="C18" s="24">
        <f t="shared" si="0"/>
        <v>300134565</v>
      </c>
      <c r="D18" s="24"/>
      <c r="E18" s="24">
        <f>276233578+112922112</f>
        <v>389155690</v>
      </c>
      <c r="F18" s="24"/>
      <c r="G18" s="24">
        <v>560853</v>
      </c>
      <c r="H18" s="24"/>
      <c r="I18" s="24">
        <v>689851108</v>
      </c>
      <c r="J18" s="24"/>
      <c r="K18" s="24">
        <f t="shared" si="1"/>
        <v>132907091</v>
      </c>
      <c r="L18" s="24"/>
      <c r="M18" s="24">
        <v>102336647</v>
      </c>
      <c r="N18" s="24"/>
      <c r="O18" s="24">
        <v>235243738</v>
      </c>
      <c r="P18" s="24"/>
      <c r="Q18" s="24">
        <v>311935882</v>
      </c>
      <c r="R18" s="24"/>
      <c r="S18" s="24">
        <f t="shared" si="2"/>
        <v>127764441</v>
      </c>
      <c r="T18" s="24"/>
      <c r="U18" s="24">
        <v>14907047</v>
      </c>
      <c r="V18" s="24"/>
      <c r="W18" s="24">
        <v>454607370</v>
      </c>
      <c r="X18" s="24"/>
      <c r="Y18" s="24">
        <f t="shared" si="3"/>
        <v>0</v>
      </c>
    </row>
    <row r="19" spans="1:25" s="93" customFormat="1" ht="12">
      <c r="A19" s="23" t="s">
        <v>20</v>
      </c>
      <c r="B19" s="23"/>
      <c r="C19" s="24">
        <f t="shared" si="0"/>
        <v>14734973</v>
      </c>
      <c r="D19" s="24"/>
      <c r="E19" s="24">
        <f>1216642+8219010</f>
        <v>9435652</v>
      </c>
      <c r="F19" s="24"/>
      <c r="G19" s="24">
        <v>0</v>
      </c>
      <c r="H19" s="24"/>
      <c r="I19" s="24">
        <v>24170625</v>
      </c>
      <c r="J19" s="24"/>
      <c r="K19" s="24">
        <f t="shared" si="1"/>
        <v>5343753</v>
      </c>
      <c r="L19" s="24"/>
      <c r="M19" s="24">
        <v>1115794</v>
      </c>
      <c r="N19" s="24"/>
      <c r="O19" s="24">
        <v>6459547</v>
      </c>
      <c r="P19" s="24"/>
      <c r="Q19" s="24">
        <v>9209245</v>
      </c>
      <c r="R19" s="24"/>
      <c r="S19" s="24">
        <f t="shared" si="2"/>
        <v>7462622</v>
      </c>
      <c r="T19" s="24"/>
      <c r="U19" s="24">
        <v>1039211</v>
      </c>
      <c r="V19" s="24"/>
      <c r="W19" s="24">
        <v>17711078</v>
      </c>
      <c r="X19" s="24"/>
      <c r="Y19" s="24">
        <f t="shared" si="3"/>
        <v>0</v>
      </c>
    </row>
    <row r="20" spans="1:25" s="93" customFormat="1" ht="12" hidden="1">
      <c r="A20" s="23" t="s">
        <v>172</v>
      </c>
      <c r="B20" s="23"/>
      <c r="C20" s="24">
        <f t="shared" si="0"/>
        <v>0</v>
      </c>
      <c r="D20" s="24"/>
      <c r="E20" s="24">
        <v>0</v>
      </c>
      <c r="F20" s="24"/>
      <c r="G20" s="24">
        <v>0</v>
      </c>
      <c r="H20" s="24"/>
      <c r="I20" s="24">
        <v>0</v>
      </c>
      <c r="J20" s="24"/>
      <c r="K20" s="24">
        <f t="shared" si="1"/>
        <v>0</v>
      </c>
      <c r="L20" s="24"/>
      <c r="M20" s="24">
        <v>0</v>
      </c>
      <c r="N20" s="24"/>
      <c r="O20" s="24">
        <v>0</v>
      </c>
      <c r="P20" s="24"/>
      <c r="Q20" s="24">
        <v>0</v>
      </c>
      <c r="R20" s="24"/>
      <c r="S20" s="24">
        <f t="shared" si="2"/>
        <v>0</v>
      </c>
      <c r="T20" s="24"/>
      <c r="U20" s="24">
        <v>0</v>
      </c>
      <c r="V20" s="24"/>
      <c r="W20" s="24">
        <v>0</v>
      </c>
      <c r="X20" s="24"/>
      <c r="Y20" s="24">
        <f t="shared" si="3"/>
        <v>0</v>
      </c>
    </row>
    <row r="21" spans="1:25" s="93" customFormat="1" ht="12">
      <c r="A21" s="23" t="s">
        <v>21</v>
      </c>
      <c r="B21" s="23"/>
      <c r="C21" s="24">
        <f t="shared" si="0"/>
        <v>95193080</v>
      </c>
      <c r="D21" s="24"/>
      <c r="E21" s="24">
        <f>7204888+6882975+73495507</f>
        <v>87583370</v>
      </c>
      <c r="F21" s="24"/>
      <c r="G21" s="24">
        <v>0</v>
      </c>
      <c r="H21" s="24"/>
      <c r="I21" s="24">
        <v>182776450</v>
      </c>
      <c r="J21" s="24"/>
      <c r="K21" s="24">
        <f t="shared" si="1"/>
        <v>46004045</v>
      </c>
      <c r="L21" s="24"/>
      <c r="M21" s="24">
        <v>13577360</v>
      </c>
      <c r="N21" s="24"/>
      <c r="O21" s="24">
        <v>59581405</v>
      </c>
      <c r="P21" s="24"/>
      <c r="Q21" s="24">
        <v>66618370</v>
      </c>
      <c r="R21" s="24"/>
      <c r="S21" s="24">
        <f t="shared" si="2"/>
        <v>45242630</v>
      </c>
      <c r="T21" s="24"/>
      <c r="U21" s="24">
        <v>11334044</v>
      </c>
      <c r="V21" s="24"/>
      <c r="W21" s="24">
        <v>123195044</v>
      </c>
      <c r="X21" s="24"/>
      <c r="Y21" s="24">
        <f t="shared" si="3"/>
        <v>1</v>
      </c>
    </row>
    <row r="22" spans="1:25" s="93" customFormat="1" ht="12">
      <c r="A22" s="23" t="s">
        <v>181</v>
      </c>
      <c r="B22" s="23"/>
      <c r="C22" s="24">
        <f t="shared" si="0"/>
        <v>114502194</v>
      </c>
      <c r="D22" s="24"/>
      <c r="E22" s="24">
        <f>5674379+15987079+134783974</f>
        <v>156445432</v>
      </c>
      <c r="F22" s="24"/>
      <c r="G22" s="24">
        <v>0</v>
      </c>
      <c r="H22" s="24"/>
      <c r="I22" s="24">
        <v>270947626</v>
      </c>
      <c r="J22" s="24"/>
      <c r="K22" s="24">
        <f t="shared" si="1"/>
        <v>35151761</v>
      </c>
      <c r="L22" s="24"/>
      <c r="M22" s="24">
        <v>23448193</v>
      </c>
      <c r="N22" s="24"/>
      <c r="O22" s="24">
        <v>58599954</v>
      </c>
      <c r="P22" s="24"/>
      <c r="Q22" s="24">
        <v>130040675</v>
      </c>
      <c r="R22" s="24"/>
      <c r="S22" s="24">
        <f t="shared" si="2"/>
        <v>44147068</v>
      </c>
      <c r="T22" s="24"/>
      <c r="U22" s="24">
        <v>38159929</v>
      </c>
      <c r="V22" s="24"/>
      <c r="W22" s="24">
        <v>212347672</v>
      </c>
      <c r="X22" s="24"/>
      <c r="Y22" s="24">
        <f t="shared" si="3"/>
        <v>0</v>
      </c>
    </row>
    <row r="23" spans="1:25" s="93" customFormat="1" ht="12">
      <c r="A23" s="23" t="s">
        <v>22</v>
      </c>
      <c r="B23" s="23"/>
      <c r="C23" s="24">
        <f t="shared" si="0"/>
        <v>25630486</v>
      </c>
      <c r="D23" s="24"/>
      <c r="E23" s="24">
        <f>8564702+41870624</f>
        <v>50435326</v>
      </c>
      <c r="F23" s="24"/>
      <c r="G23" s="24">
        <v>0</v>
      </c>
      <c r="H23" s="24"/>
      <c r="I23" s="24">
        <v>76065812</v>
      </c>
      <c r="J23" s="24"/>
      <c r="K23" s="24">
        <f t="shared" si="1"/>
        <v>10751866</v>
      </c>
      <c r="L23" s="24"/>
      <c r="M23" s="24">
        <v>11857055</v>
      </c>
      <c r="N23" s="24"/>
      <c r="O23" s="24">
        <v>22608921</v>
      </c>
      <c r="P23" s="24"/>
      <c r="Q23" s="24">
        <v>37499676</v>
      </c>
      <c r="R23" s="24"/>
      <c r="S23" s="24">
        <f t="shared" si="2"/>
        <v>12814785</v>
      </c>
      <c r="T23" s="24"/>
      <c r="U23" s="24">
        <v>3142430</v>
      </c>
      <c r="V23" s="24"/>
      <c r="W23" s="24">
        <v>53456891</v>
      </c>
      <c r="X23" s="24"/>
      <c r="Y23" s="24">
        <f t="shared" si="3"/>
        <v>0</v>
      </c>
    </row>
    <row r="24" spans="1:25" s="93" customFormat="1" ht="12" hidden="1">
      <c r="A24" s="23" t="s">
        <v>23</v>
      </c>
      <c r="B24" s="23"/>
      <c r="C24" s="24">
        <f t="shared" si="0"/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f t="shared" si="1"/>
        <v>0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f t="shared" si="2"/>
        <v>0</v>
      </c>
      <c r="T24" s="24"/>
      <c r="U24" s="24">
        <v>0</v>
      </c>
      <c r="V24" s="24"/>
      <c r="W24" s="24">
        <v>0</v>
      </c>
      <c r="X24" s="24"/>
      <c r="Y24" s="24">
        <f t="shared" si="3"/>
        <v>0</v>
      </c>
    </row>
    <row r="25" spans="1:25" s="93" customFormat="1" ht="12">
      <c r="A25" s="23" t="s">
        <v>24</v>
      </c>
      <c r="B25" s="23"/>
      <c r="C25" s="24">
        <f t="shared" si="0"/>
        <v>24112469</v>
      </c>
      <c r="D25" s="24"/>
      <c r="E25" s="24">
        <f>1523969+27525709</f>
        <v>29049678</v>
      </c>
      <c r="F25" s="24"/>
      <c r="G25" s="24">
        <v>0</v>
      </c>
      <c r="H25" s="24"/>
      <c r="I25" s="24">
        <v>53162147</v>
      </c>
      <c r="J25" s="24"/>
      <c r="K25" s="24">
        <f t="shared" si="1"/>
        <v>8562716</v>
      </c>
      <c r="L25" s="24"/>
      <c r="M25" s="24">
        <v>4804005</v>
      </c>
      <c r="N25" s="24"/>
      <c r="O25" s="24">
        <v>13366721</v>
      </c>
      <c r="P25" s="24"/>
      <c r="Q25" s="24">
        <v>24386282</v>
      </c>
      <c r="R25" s="24"/>
      <c r="S25" s="24">
        <f t="shared" si="2"/>
        <v>12369900</v>
      </c>
      <c r="T25" s="24"/>
      <c r="U25" s="24">
        <v>3039244</v>
      </c>
      <c r="V25" s="24"/>
      <c r="W25" s="24">
        <v>39795426</v>
      </c>
      <c r="X25" s="24"/>
      <c r="Y25" s="24">
        <f t="shared" si="3"/>
        <v>0</v>
      </c>
    </row>
    <row r="26" spans="1:25" s="93" customFormat="1" ht="12">
      <c r="A26" s="23" t="s">
        <v>243</v>
      </c>
      <c r="B26" s="23"/>
      <c r="C26" s="24">
        <f t="shared" si="0"/>
        <v>29810214</v>
      </c>
      <c r="D26" s="24"/>
      <c r="E26" s="24">
        <f>3249163+39830179</f>
        <v>43079342</v>
      </c>
      <c r="F26" s="24"/>
      <c r="G26" s="24">
        <v>0</v>
      </c>
      <c r="H26" s="24"/>
      <c r="I26" s="24">
        <v>72889556</v>
      </c>
      <c r="J26" s="24"/>
      <c r="K26" s="24">
        <f t="shared" si="1"/>
        <v>7179149</v>
      </c>
      <c r="L26" s="24"/>
      <c r="M26" s="24">
        <v>12598008</v>
      </c>
      <c r="N26" s="24"/>
      <c r="O26" s="24">
        <v>19777157</v>
      </c>
      <c r="P26" s="24"/>
      <c r="Q26" s="24">
        <v>31707836</v>
      </c>
      <c r="R26" s="24"/>
      <c r="S26" s="24">
        <f t="shared" si="2"/>
        <v>15108781</v>
      </c>
      <c r="T26" s="24"/>
      <c r="U26" s="24">
        <v>6295782</v>
      </c>
      <c r="V26" s="24"/>
      <c r="W26" s="24">
        <v>53112399</v>
      </c>
      <c r="X26" s="24"/>
      <c r="Y26" s="24">
        <f t="shared" si="3"/>
        <v>0</v>
      </c>
    </row>
    <row r="27" spans="1:25" s="93" customFormat="1" ht="12">
      <c r="A27" s="23" t="s">
        <v>25</v>
      </c>
      <c r="B27" s="23"/>
      <c r="C27" s="24">
        <f t="shared" si="0"/>
        <v>1048857000</v>
      </c>
      <c r="D27" s="24"/>
      <c r="E27" s="24">
        <f>627502*1000</f>
        <v>627502000</v>
      </c>
      <c r="F27" s="24"/>
      <c r="G27" s="24">
        <v>0</v>
      </c>
      <c r="H27" s="24"/>
      <c r="I27" s="24">
        <f>1676359*1000</f>
        <v>1676359000</v>
      </c>
      <c r="J27" s="24"/>
      <c r="K27" s="24">
        <f t="shared" si="1"/>
        <v>514234000</v>
      </c>
      <c r="L27" s="24"/>
      <c r="M27" s="24">
        <f>343405*1000</f>
        <v>343405000</v>
      </c>
      <c r="N27" s="24"/>
      <c r="O27" s="24">
        <f>857639*1000</f>
        <v>857639000</v>
      </c>
      <c r="P27" s="24"/>
      <c r="Q27" s="24">
        <f>408215*1000</f>
        <v>408215000</v>
      </c>
      <c r="R27" s="24"/>
      <c r="S27" s="24">
        <f t="shared" si="2"/>
        <v>51599000</v>
      </c>
      <c r="T27" s="24"/>
      <c r="U27" s="24">
        <f>358906*1000</f>
        <v>358906000</v>
      </c>
      <c r="V27" s="24"/>
      <c r="W27" s="24">
        <f>818720*1000</f>
        <v>818720000</v>
      </c>
      <c r="X27" s="24"/>
      <c r="Y27" s="24">
        <f t="shared" si="3"/>
        <v>0</v>
      </c>
    </row>
    <row r="28" spans="1:25" s="93" customFormat="1" ht="12">
      <c r="A28" s="23" t="s">
        <v>26</v>
      </c>
      <c r="B28" s="23"/>
      <c r="C28" s="24">
        <f t="shared" si="0"/>
        <v>30152845</v>
      </c>
      <c r="D28" s="24"/>
      <c r="E28" s="24">
        <f>9825957+71325552</f>
        <v>81151509</v>
      </c>
      <c r="F28" s="24"/>
      <c r="G28" s="24">
        <v>0</v>
      </c>
      <c r="H28" s="24"/>
      <c r="I28" s="24">
        <v>111304354</v>
      </c>
      <c r="J28" s="24"/>
      <c r="K28" s="24">
        <f t="shared" si="1"/>
        <v>10865730</v>
      </c>
      <c r="L28" s="24"/>
      <c r="M28" s="24">
        <v>4761770</v>
      </c>
      <c r="N28" s="24"/>
      <c r="O28" s="24">
        <v>15627500</v>
      </c>
      <c r="P28" s="24"/>
      <c r="Q28" s="24">
        <v>73675773</v>
      </c>
      <c r="R28" s="24"/>
      <c r="S28" s="24">
        <f t="shared" si="2"/>
        <v>17715300</v>
      </c>
      <c r="T28" s="24"/>
      <c r="U28" s="24">
        <v>4285781</v>
      </c>
      <c r="V28" s="24"/>
      <c r="W28" s="24">
        <v>95676854</v>
      </c>
      <c r="X28" s="24"/>
      <c r="Y28" s="24">
        <f t="shared" si="3"/>
        <v>0</v>
      </c>
    </row>
    <row r="29" spans="1:25" s="93" customFormat="1" ht="12">
      <c r="A29" s="23" t="s">
        <v>27</v>
      </c>
      <c r="B29" s="23"/>
      <c r="C29" s="24">
        <f aca="true" t="shared" si="4" ref="C29:C93">+I29-E29-G29</f>
        <v>43496382</v>
      </c>
      <c r="D29" s="24"/>
      <c r="E29" s="24">
        <f>1084684+54371850</f>
        <v>55456534</v>
      </c>
      <c r="F29" s="24"/>
      <c r="G29" s="24">
        <v>0</v>
      </c>
      <c r="H29" s="24"/>
      <c r="I29" s="24">
        <v>98952916</v>
      </c>
      <c r="J29" s="24"/>
      <c r="K29" s="24">
        <f aca="true" t="shared" si="5" ref="K29:K93">+O29-M29</f>
        <v>9247812</v>
      </c>
      <c r="L29" s="24"/>
      <c r="M29" s="24">
        <v>5456706</v>
      </c>
      <c r="N29" s="24"/>
      <c r="O29" s="24">
        <v>14704518</v>
      </c>
      <c r="P29" s="24"/>
      <c r="Q29" s="24">
        <v>52032368</v>
      </c>
      <c r="R29" s="24"/>
      <c r="S29" s="24">
        <f aca="true" t="shared" si="6" ref="S29:S93">W29-U29-Q29</f>
        <v>25160297</v>
      </c>
      <c r="T29" s="24"/>
      <c r="U29" s="24">
        <v>7055733</v>
      </c>
      <c r="V29" s="24"/>
      <c r="W29" s="24">
        <v>84248398</v>
      </c>
      <c r="X29" s="24"/>
      <c r="Y29" s="24">
        <f aca="true" t="shared" si="7" ref="Y29:Y93">I29-O29-W29</f>
        <v>0</v>
      </c>
    </row>
    <row r="30" spans="1:25" s="93" customFormat="1" ht="12">
      <c r="A30" s="23" t="s">
        <v>28</v>
      </c>
      <c r="B30" s="23"/>
      <c r="C30" s="24">
        <f t="shared" si="4"/>
        <v>135668581</v>
      </c>
      <c r="D30" s="24"/>
      <c r="E30" s="24">
        <f>44234356+106460171</f>
        <v>150694527</v>
      </c>
      <c r="F30" s="24"/>
      <c r="G30" s="24">
        <v>0</v>
      </c>
      <c r="H30" s="24"/>
      <c r="I30" s="24">
        <v>286363108</v>
      </c>
      <c r="J30" s="24"/>
      <c r="K30" s="24">
        <f t="shared" si="5"/>
        <v>33391479</v>
      </c>
      <c r="L30" s="24"/>
      <c r="M30" s="24">
        <v>45314470</v>
      </c>
      <c r="N30" s="24"/>
      <c r="O30" s="24">
        <v>78705949</v>
      </c>
      <c r="P30" s="24"/>
      <c r="Q30" s="24">
        <v>105810479</v>
      </c>
      <c r="R30" s="24"/>
      <c r="S30" s="24">
        <f t="shared" si="6"/>
        <v>74302600</v>
      </c>
      <c r="T30" s="24"/>
      <c r="U30" s="24">
        <v>27544080</v>
      </c>
      <c r="V30" s="24"/>
      <c r="W30" s="24">
        <v>207657159</v>
      </c>
      <c r="X30" s="24"/>
      <c r="Y30" s="24">
        <f t="shared" si="7"/>
        <v>0</v>
      </c>
    </row>
    <row r="31" spans="1:25" s="93" customFormat="1" ht="12">
      <c r="A31" s="23" t="s">
        <v>29</v>
      </c>
      <c r="B31" s="23"/>
      <c r="C31" s="24">
        <f t="shared" si="4"/>
        <v>49785368</v>
      </c>
      <c r="D31" s="24"/>
      <c r="E31" s="24">
        <v>69551933</v>
      </c>
      <c r="F31" s="24"/>
      <c r="G31" s="24">
        <v>0</v>
      </c>
      <c r="H31" s="24"/>
      <c r="I31" s="24">
        <v>119337301</v>
      </c>
      <c r="J31" s="24"/>
      <c r="K31" s="24">
        <f t="shared" si="5"/>
        <v>20466592</v>
      </c>
      <c r="L31" s="24"/>
      <c r="M31" s="24">
        <v>21313519</v>
      </c>
      <c r="N31" s="24"/>
      <c r="O31" s="24">
        <v>41780111</v>
      </c>
      <c r="P31" s="24"/>
      <c r="Q31" s="24">
        <v>49000885</v>
      </c>
      <c r="R31" s="24"/>
      <c r="S31" s="24">
        <f t="shared" si="6"/>
        <v>18658152</v>
      </c>
      <c r="T31" s="24"/>
      <c r="U31" s="24">
        <v>9898153</v>
      </c>
      <c r="V31" s="24"/>
      <c r="W31" s="24">
        <v>77557190</v>
      </c>
      <c r="X31" s="24"/>
      <c r="Y31" s="24">
        <f t="shared" si="7"/>
        <v>0</v>
      </c>
    </row>
    <row r="32" spans="1:25" s="93" customFormat="1" ht="12">
      <c r="A32" s="23" t="s">
        <v>30</v>
      </c>
      <c r="B32" s="23"/>
      <c r="C32" s="24">
        <f t="shared" si="4"/>
        <v>93580359</v>
      </c>
      <c r="D32" s="24"/>
      <c r="E32" s="24">
        <f>6523035+177247790</f>
        <v>183770825</v>
      </c>
      <c r="F32" s="24"/>
      <c r="G32" s="24">
        <v>263778</v>
      </c>
      <c r="H32" s="24"/>
      <c r="I32" s="24">
        <v>277614962</v>
      </c>
      <c r="J32" s="24"/>
      <c r="K32" s="24">
        <f t="shared" si="5"/>
        <v>32404659</v>
      </c>
      <c r="L32" s="24"/>
      <c r="M32" s="24">
        <v>23706693</v>
      </c>
      <c r="N32" s="24"/>
      <c r="O32" s="24">
        <v>56111352</v>
      </c>
      <c r="P32" s="24"/>
      <c r="Q32" s="24">
        <v>165113516</v>
      </c>
      <c r="R32" s="24"/>
      <c r="S32" s="24">
        <f t="shared" si="6"/>
        <v>38433887</v>
      </c>
      <c r="T32" s="24"/>
      <c r="U32" s="24">
        <v>17956207</v>
      </c>
      <c r="V32" s="24"/>
      <c r="W32" s="24">
        <v>221503610</v>
      </c>
      <c r="X32" s="24"/>
      <c r="Y32" s="24">
        <f t="shared" si="7"/>
        <v>0</v>
      </c>
    </row>
    <row r="33" spans="1:25" s="93" customFormat="1" ht="12" hidden="1">
      <c r="A33" s="23" t="s">
        <v>239</v>
      </c>
      <c r="B33" s="23"/>
      <c r="C33" s="24">
        <f t="shared" si="4"/>
        <v>0</v>
      </c>
      <c r="D33" s="24"/>
      <c r="E33" s="24">
        <v>0</v>
      </c>
      <c r="F33" s="24"/>
      <c r="G33" s="24">
        <v>0</v>
      </c>
      <c r="H33" s="24"/>
      <c r="I33" s="24">
        <v>0</v>
      </c>
      <c r="J33" s="24"/>
      <c r="K33" s="24">
        <f t="shared" si="5"/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f t="shared" si="6"/>
        <v>0</v>
      </c>
      <c r="T33" s="24"/>
      <c r="U33" s="24">
        <v>0</v>
      </c>
      <c r="V33" s="24"/>
      <c r="W33" s="24">
        <v>0</v>
      </c>
      <c r="X33" s="24"/>
      <c r="Y33" s="24">
        <f t="shared" si="7"/>
        <v>0</v>
      </c>
    </row>
    <row r="34" spans="1:25" s="93" customFormat="1" ht="12">
      <c r="A34" s="23" t="s">
        <v>32</v>
      </c>
      <c r="B34" s="23"/>
      <c r="C34" s="24">
        <f t="shared" si="4"/>
        <v>1122455000</v>
      </c>
      <c r="D34" s="24"/>
      <c r="E34" s="24">
        <f>(766305+2646)*1000</f>
        <v>768951000</v>
      </c>
      <c r="F34" s="24"/>
      <c r="G34" s="24">
        <f>1527*1000</f>
        <v>1527000</v>
      </c>
      <c r="H34" s="24"/>
      <c r="I34" s="24">
        <f>1892933*1000</f>
        <v>1892933000</v>
      </c>
      <c r="J34" s="24"/>
      <c r="K34" s="24">
        <f t="shared" si="5"/>
        <v>507861000</v>
      </c>
      <c r="L34" s="24"/>
      <c r="M34" s="24">
        <f>323139*1000</f>
        <v>323139000</v>
      </c>
      <c r="N34" s="24"/>
      <c r="O34" s="24">
        <f>831000*1000</f>
        <v>831000000</v>
      </c>
      <c r="P34" s="24"/>
      <c r="Q34" s="24">
        <f>304589*1000</f>
        <v>304589000</v>
      </c>
      <c r="R34" s="24"/>
      <c r="S34" s="24">
        <f t="shared" si="6"/>
        <v>450568000</v>
      </c>
      <c r="T34" s="24"/>
      <c r="U34" s="24">
        <f>306776*1000</f>
        <v>306776000</v>
      </c>
      <c r="V34" s="24"/>
      <c r="W34" s="24">
        <f>1061933*1000</f>
        <v>1061933000</v>
      </c>
      <c r="X34" s="24"/>
      <c r="Y34" s="24">
        <f t="shared" si="7"/>
        <v>0</v>
      </c>
    </row>
    <row r="35" spans="1:25" s="93" customFormat="1" ht="12">
      <c r="A35" s="23" t="s">
        <v>33</v>
      </c>
      <c r="B35" s="23"/>
      <c r="C35" s="24">
        <f t="shared" si="4"/>
        <v>36525923</v>
      </c>
      <c r="D35" s="24"/>
      <c r="E35" s="24">
        <f>1011931+38802131</f>
        <v>39814062</v>
      </c>
      <c r="F35" s="24"/>
      <c r="G35" s="24">
        <v>0</v>
      </c>
      <c r="H35" s="24"/>
      <c r="I35" s="24">
        <v>76339985</v>
      </c>
      <c r="J35" s="24"/>
      <c r="K35" s="24">
        <f t="shared" si="5"/>
        <v>9751343</v>
      </c>
      <c r="L35" s="24"/>
      <c r="M35" s="24">
        <v>3028036</v>
      </c>
      <c r="N35" s="24"/>
      <c r="O35" s="24">
        <v>12779379</v>
      </c>
      <c r="P35" s="24"/>
      <c r="Q35" s="24">
        <v>38498034</v>
      </c>
      <c r="R35" s="24"/>
      <c r="S35" s="24">
        <f t="shared" si="6"/>
        <v>21543352</v>
      </c>
      <c r="T35" s="24"/>
      <c r="U35" s="24">
        <v>3519220</v>
      </c>
      <c r="V35" s="24"/>
      <c r="W35" s="24">
        <v>63560606</v>
      </c>
      <c r="X35" s="24"/>
      <c r="Y35" s="24">
        <f t="shared" si="7"/>
        <v>0</v>
      </c>
    </row>
    <row r="36" spans="1:25" s="93" customFormat="1" ht="12">
      <c r="A36" s="23" t="s">
        <v>34</v>
      </c>
      <c r="B36" s="23"/>
      <c r="C36" s="24">
        <f t="shared" si="4"/>
        <v>14908186</v>
      </c>
      <c r="D36" s="24"/>
      <c r="E36" s="24">
        <f>188565+18778858</f>
        <v>18967423</v>
      </c>
      <c r="F36" s="24"/>
      <c r="G36" s="24">
        <v>0</v>
      </c>
      <c r="H36" s="24"/>
      <c r="I36" s="24">
        <v>33875609</v>
      </c>
      <c r="J36" s="24"/>
      <c r="K36" s="24">
        <f t="shared" si="5"/>
        <v>5406433</v>
      </c>
      <c r="L36" s="24"/>
      <c r="M36" s="24">
        <v>2514033</v>
      </c>
      <c r="N36" s="24"/>
      <c r="O36" s="24">
        <v>7920466</v>
      </c>
      <c r="P36" s="24"/>
      <c r="Q36" s="24">
        <v>17036875</v>
      </c>
      <c r="R36" s="24"/>
      <c r="S36" s="24">
        <f t="shared" si="6"/>
        <v>6704146</v>
      </c>
      <c r="T36" s="24"/>
      <c r="U36" s="24">
        <v>2214122</v>
      </c>
      <c r="V36" s="24"/>
      <c r="W36" s="24">
        <v>25955143</v>
      </c>
      <c r="X36" s="24"/>
      <c r="Y36" s="24">
        <f t="shared" si="7"/>
        <v>0</v>
      </c>
    </row>
    <row r="37" spans="1:25" s="93" customFormat="1" ht="12">
      <c r="A37" s="23" t="s">
        <v>35</v>
      </c>
      <c r="B37" s="23"/>
      <c r="C37" s="24">
        <f t="shared" si="4"/>
        <v>81294054</v>
      </c>
      <c r="D37" s="24"/>
      <c r="E37" s="24">
        <f>116404344+40107372</f>
        <v>156511716</v>
      </c>
      <c r="F37" s="24"/>
      <c r="G37" s="24">
        <v>0</v>
      </c>
      <c r="H37" s="24"/>
      <c r="I37" s="24">
        <v>237805770</v>
      </c>
      <c r="J37" s="24"/>
      <c r="K37" s="24">
        <f t="shared" si="5"/>
        <v>36821219</v>
      </c>
      <c r="L37" s="24"/>
      <c r="M37" s="24">
        <v>4591737</v>
      </c>
      <c r="N37" s="24"/>
      <c r="O37" s="24">
        <v>41412956</v>
      </c>
      <c r="P37" s="24"/>
      <c r="Q37" s="24">
        <v>149550544</v>
      </c>
      <c r="R37" s="24"/>
      <c r="S37" s="24">
        <f t="shared" si="6"/>
        <v>35778165</v>
      </c>
      <c r="T37" s="24"/>
      <c r="U37" s="24">
        <v>11064105</v>
      </c>
      <c r="V37" s="24"/>
      <c r="W37" s="24">
        <v>196392814</v>
      </c>
      <c r="X37" s="24"/>
      <c r="Y37" s="24">
        <f t="shared" si="7"/>
        <v>0</v>
      </c>
    </row>
    <row r="38" spans="1:25" s="93" customFormat="1" ht="12">
      <c r="A38" s="23" t="s">
        <v>182</v>
      </c>
      <c r="B38" s="23"/>
      <c r="C38" s="24">
        <f t="shared" si="4"/>
        <v>112794886</v>
      </c>
      <c r="D38" s="24"/>
      <c r="E38" s="24">
        <f>31028067+130469054</f>
        <v>161497121</v>
      </c>
      <c r="F38" s="24"/>
      <c r="G38" s="24">
        <v>0</v>
      </c>
      <c r="H38" s="24"/>
      <c r="I38" s="24">
        <v>274292007</v>
      </c>
      <c r="J38" s="24"/>
      <c r="K38" s="24">
        <f t="shared" si="5"/>
        <v>61192171</v>
      </c>
      <c r="L38" s="24"/>
      <c r="M38" s="24">
        <v>25515506</v>
      </c>
      <c r="N38" s="24"/>
      <c r="O38" s="24">
        <v>86707677</v>
      </c>
      <c r="P38" s="24"/>
      <c r="Q38" s="24">
        <v>136736634</v>
      </c>
      <c r="R38" s="24"/>
      <c r="S38" s="24">
        <f t="shared" si="6"/>
        <v>46272287</v>
      </c>
      <c r="T38" s="24"/>
      <c r="U38" s="24">
        <v>4575409</v>
      </c>
      <c r="V38" s="24"/>
      <c r="W38" s="24">
        <v>187584330</v>
      </c>
      <c r="X38" s="24"/>
      <c r="Y38" s="24">
        <f t="shared" si="7"/>
        <v>0</v>
      </c>
    </row>
    <row r="39" spans="1:25" s="93" customFormat="1" ht="12" hidden="1">
      <c r="A39" s="23" t="s">
        <v>244</v>
      </c>
      <c r="B39" s="23"/>
      <c r="C39" s="24">
        <f t="shared" si="4"/>
        <v>0</v>
      </c>
      <c r="D39" s="24"/>
      <c r="E39" s="24"/>
      <c r="F39" s="24"/>
      <c r="G39" s="24"/>
      <c r="H39" s="24"/>
      <c r="I39" s="24"/>
      <c r="J39" s="24"/>
      <c r="K39" s="24">
        <f t="shared" si="5"/>
        <v>0</v>
      </c>
      <c r="L39" s="24"/>
      <c r="M39" s="24"/>
      <c r="N39" s="24"/>
      <c r="O39" s="24"/>
      <c r="P39" s="24"/>
      <c r="Q39" s="24"/>
      <c r="R39" s="24"/>
      <c r="S39" s="24">
        <f t="shared" si="6"/>
        <v>0</v>
      </c>
      <c r="T39" s="24"/>
      <c r="U39" s="24"/>
      <c r="V39" s="24"/>
      <c r="W39" s="24"/>
      <c r="X39" s="24"/>
      <c r="Y39" s="24">
        <f t="shared" si="7"/>
        <v>0</v>
      </c>
    </row>
    <row r="40" spans="1:25" s="93" customFormat="1" ht="12">
      <c r="A40" s="23" t="s">
        <v>37</v>
      </c>
      <c r="B40" s="23"/>
      <c r="C40" s="24">
        <f t="shared" si="4"/>
        <v>649195000</v>
      </c>
      <c r="D40" s="24"/>
      <c r="E40" s="24">
        <f>106845000+441406000</f>
        <v>548251000</v>
      </c>
      <c r="F40" s="24"/>
      <c r="G40" s="24">
        <v>0</v>
      </c>
      <c r="H40" s="24"/>
      <c r="I40" s="24">
        <v>1197446000</v>
      </c>
      <c r="J40" s="24"/>
      <c r="K40" s="24">
        <f t="shared" si="5"/>
        <v>378376000</v>
      </c>
      <c r="L40" s="24"/>
      <c r="M40" s="24">
        <v>142602000</v>
      </c>
      <c r="N40" s="24"/>
      <c r="O40" s="24">
        <v>520978000</v>
      </c>
      <c r="P40" s="24"/>
      <c r="Q40" s="24">
        <v>452251000</v>
      </c>
      <c r="R40" s="24"/>
      <c r="S40" s="24">
        <f t="shared" si="6"/>
        <v>228753000</v>
      </c>
      <c r="T40" s="24"/>
      <c r="U40" s="24">
        <v>-4536000</v>
      </c>
      <c r="V40" s="24"/>
      <c r="W40" s="24">
        <v>676468000</v>
      </c>
      <c r="X40" s="24"/>
      <c r="Y40" s="24">
        <f t="shared" si="7"/>
        <v>0</v>
      </c>
    </row>
    <row r="41" spans="1:25" s="93" customFormat="1" ht="12" customHeight="1">
      <c r="A41" s="23" t="s">
        <v>38</v>
      </c>
      <c r="B41" s="23"/>
      <c r="C41" s="24">
        <f t="shared" si="4"/>
        <v>56155917</v>
      </c>
      <c r="D41" s="24"/>
      <c r="E41" s="24">
        <f>32498242+59390705</f>
        <v>91888947</v>
      </c>
      <c r="F41" s="24"/>
      <c r="G41" s="24">
        <v>0</v>
      </c>
      <c r="H41" s="24"/>
      <c r="I41" s="24">
        <v>148044864</v>
      </c>
      <c r="J41" s="24"/>
      <c r="K41" s="24">
        <f t="shared" si="5"/>
        <v>19051321</v>
      </c>
      <c r="L41" s="24"/>
      <c r="M41" s="24">
        <v>15067697</v>
      </c>
      <c r="N41" s="24"/>
      <c r="O41" s="24">
        <v>34119018</v>
      </c>
      <c r="P41" s="24"/>
      <c r="Q41" s="24">
        <v>81847039</v>
      </c>
      <c r="R41" s="24"/>
      <c r="S41" s="24">
        <f t="shared" si="6"/>
        <v>27862344</v>
      </c>
      <c r="T41" s="24"/>
      <c r="U41" s="24">
        <v>4216463</v>
      </c>
      <c r="V41" s="24"/>
      <c r="W41" s="24">
        <v>113925846</v>
      </c>
      <c r="X41" s="24"/>
      <c r="Y41" s="24">
        <f t="shared" si="7"/>
        <v>0</v>
      </c>
    </row>
    <row r="42" spans="1:25" s="93" customFormat="1" ht="12" hidden="1">
      <c r="A42" s="23" t="s">
        <v>168</v>
      </c>
      <c r="B42" s="23"/>
      <c r="C42" s="24">
        <f t="shared" si="4"/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24"/>
      <c r="K42" s="24">
        <f t="shared" si="5"/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f t="shared" si="6"/>
        <v>0</v>
      </c>
      <c r="T42" s="24"/>
      <c r="U42" s="24">
        <v>0</v>
      </c>
      <c r="V42" s="24"/>
      <c r="W42" s="24">
        <v>0</v>
      </c>
      <c r="X42" s="24"/>
      <c r="Y42" s="24">
        <f t="shared" si="7"/>
        <v>0</v>
      </c>
    </row>
    <row r="43" spans="1:25" s="93" customFormat="1" ht="12" hidden="1">
      <c r="A43" s="23" t="s">
        <v>39</v>
      </c>
      <c r="B43" s="23"/>
      <c r="C43" s="24">
        <f t="shared" si="4"/>
        <v>0</v>
      </c>
      <c r="D43" s="24"/>
      <c r="E43" s="24">
        <v>0</v>
      </c>
      <c r="F43" s="24"/>
      <c r="G43" s="24">
        <v>0</v>
      </c>
      <c r="H43" s="24"/>
      <c r="I43" s="24">
        <v>0</v>
      </c>
      <c r="J43" s="24"/>
      <c r="K43" s="24">
        <f t="shared" si="5"/>
        <v>0</v>
      </c>
      <c r="L43" s="24"/>
      <c r="M43" s="24">
        <v>0</v>
      </c>
      <c r="N43" s="24"/>
      <c r="O43" s="24">
        <v>0</v>
      </c>
      <c r="P43" s="24"/>
      <c r="Q43" s="24">
        <v>0</v>
      </c>
      <c r="R43" s="24"/>
      <c r="S43" s="24">
        <f t="shared" si="6"/>
        <v>0</v>
      </c>
      <c r="T43" s="24"/>
      <c r="U43" s="24">
        <v>0</v>
      </c>
      <c r="V43" s="24"/>
      <c r="W43" s="24">
        <v>0</v>
      </c>
      <c r="X43" s="24"/>
      <c r="Y43" s="24">
        <f t="shared" si="7"/>
        <v>0</v>
      </c>
    </row>
    <row r="44" spans="1:25" s="93" customFormat="1" ht="12">
      <c r="A44" s="23" t="s">
        <v>40</v>
      </c>
      <c r="B44" s="23"/>
      <c r="C44" s="24">
        <f t="shared" si="4"/>
        <v>26207227</v>
      </c>
      <c r="D44" s="24"/>
      <c r="E44" s="24">
        <f>1656808+35234466</f>
        <v>36891274</v>
      </c>
      <c r="F44" s="24"/>
      <c r="G44" s="24">
        <v>0</v>
      </c>
      <c r="H44" s="24"/>
      <c r="I44" s="24">
        <v>63098501</v>
      </c>
      <c r="J44" s="24"/>
      <c r="K44" s="24">
        <f t="shared" si="5"/>
        <v>9908945</v>
      </c>
      <c r="L44" s="24"/>
      <c r="M44" s="24">
        <v>1527167</v>
      </c>
      <c r="N44" s="24"/>
      <c r="O44" s="24">
        <v>11436112</v>
      </c>
      <c r="P44" s="24"/>
      <c r="Q44" s="24">
        <v>33492517</v>
      </c>
      <c r="R44" s="24"/>
      <c r="S44" s="24">
        <f t="shared" si="6"/>
        <v>13281044</v>
      </c>
      <c r="T44" s="24"/>
      <c r="U44" s="24">
        <v>4888828</v>
      </c>
      <c r="V44" s="24"/>
      <c r="W44" s="24">
        <v>51662389</v>
      </c>
      <c r="X44" s="24"/>
      <c r="Y44" s="24">
        <f t="shared" si="7"/>
        <v>0</v>
      </c>
    </row>
    <row r="45" spans="1:25" s="93" customFormat="1" ht="12" hidden="1">
      <c r="A45" s="23" t="s">
        <v>41</v>
      </c>
      <c r="B45" s="23"/>
      <c r="C45" s="24">
        <f t="shared" si="4"/>
        <v>0</v>
      </c>
      <c r="D45" s="24"/>
      <c r="E45" s="24">
        <v>0</v>
      </c>
      <c r="F45" s="24"/>
      <c r="G45" s="24">
        <v>0</v>
      </c>
      <c r="H45" s="24"/>
      <c r="I45" s="24">
        <v>0</v>
      </c>
      <c r="J45" s="24"/>
      <c r="K45" s="24">
        <f t="shared" si="5"/>
        <v>0</v>
      </c>
      <c r="L45" s="24"/>
      <c r="M45" s="24">
        <v>0</v>
      </c>
      <c r="N45" s="24"/>
      <c r="O45" s="24">
        <v>0</v>
      </c>
      <c r="P45" s="24"/>
      <c r="Q45" s="24">
        <v>0</v>
      </c>
      <c r="R45" s="24"/>
      <c r="S45" s="24">
        <f t="shared" si="6"/>
        <v>0</v>
      </c>
      <c r="T45" s="24"/>
      <c r="U45" s="24">
        <v>0</v>
      </c>
      <c r="V45" s="24"/>
      <c r="W45" s="24">
        <v>0</v>
      </c>
      <c r="X45" s="24"/>
      <c r="Y45" s="24">
        <f t="shared" si="7"/>
        <v>0</v>
      </c>
    </row>
    <row r="46" spans="1:25" s="93" customFormat="1" ht="12">
      <c r="A46" s="23" t="s">
        <v>42</v>
      </c>
      <c r="B46" s="23"/>
      <c r="C46" s="24">
        <f t="shared" si="4"/>
        <v>20281131</v>
      </c>
      <c r="D46" s="24"/>
      <c r="E46" s="24">
        <f>721313+18459682</f>
        <v>19180995</v>
      </c>
      <c r="F46" s="24"/>
      <c r="G46" s="24">
        <v>0</v>
      </c>
      <c r="H46" s="24"/>
      <c r="I46" s="24">
        <v>39462126</v>
      </c>
      <c r="J46" s="24"/>
      <c r="K46" s="24">
        <f t="shared" si="5"/>
        <v>5968689</v>
      </c>
      <c r="L46" s="24"/>
      <c r="M46" s="24">
        <v>1499549</v>
      </c>
      <c r="N46" s="24"/>
      <c r="O46" s="24">
        <v>7468238</v>
      </c>
      <c r="P46" s="24"/>
      <c r="Q46" s="24">
        <v>18143962</v>
      </c>
      <c r="R46" s="24"/>
      <c r="S46" s="24">
        <f t="shared" si="6"/>
        <v>10966878</v>
      </c>
      <c r="T46" s="24"/>
      <c r="U46" s="24">
        <v>2883048</v>
      </c>
      <c r="V46" s="24"/>
      <c r="W46" s="24">
        <v>31993888</v>
      </c>
      <c r="X46" s="24"/>
      <c r="Y46" s="24">
        <f t="shared" si="7"/>
        <v>0</v>
      </c>
    </row>
    <row r="47" spans="1:25" s="93" customFormat="1" ht="12">
      <c r="A47" s="23" t="s">
        <v>43</v>
      </c>
      <c r="B47" s="23"/>
      <c r="C47" s="24">
        <f t="shared" si="4"/>
        <v>19843942</v>
      </c>
      <c r="D47" s="24"/>
      <c r="E47" s="24">
        <f>844121+23380538</f>
        <v>24224659</v>
      </c>
      <c r="F47" s="24"/>
      <c r="G47" s="24">
        <v>0</v>
      </c>
      <c r="H47" s="24"/>
      <c r="I47" s="24">
        <v>44068601</v>
      </c>
      <c r="J47" s="24"/>
      <c r="K47" s="24">
        <f t="shared" si="5"/>
        <v>9386829</v>
      </c>
      <c r="L47" s="24"/>
      <c r="M47" s="24">
        <v>4157701</v>
      </c>
      <c r="N47" s="24"/>
      <c r="O47" s="24">
        <v>13544530</v>
      </c>
      <c r="P47" s="24"/>
      <c r="Q47" s="24">
        <v>20109659</v>
      </c>
      <c r="R47" s="24"/>
      <c r="S47" s="24">
        <f t="shared" si="6"/>
        <v>9143508</v>
      </c>
      <c r="T47" s="24"/>
      <c r="U47" s="24">
        <v>1270904</v>
      </c>
      <c r="V47" s="24"/>
      <c r="W47" s="24">
        <v>30524071</v>
      </c>
      <c r="X47" s="24"/>
      <c r="Y47" s="24">
        <f t="shared" si="7"/>
        <v>0</v>
      </c>
    </row>
    <row r="48" spans="1:25" s="93" customFormat="1" ht="12">
      <c r="A48" s="23" t="s">
        <v>44</v>
      </c>
      <c r="B48" s="23"/>
      <c r="C48" s="24">
        <f t="shared" si="4"/>
        <v>26394108</v>
      </c>
      <c r="D48" s="24"/>
      <c r="E48" s="24">
        <f>1717352+34703447</f>
        <v>36420799</v>
      </c>
      <c r="F48" s="24"/>
      <c r="G48" s="24">
        <v>0</v>
      </c>
      <c r="H48" s="24"/>
      <c r="I48" s="24">
        <v>62814907</v>
      </c>
      <c r="J48" s="24"/>
      <c r="K48" s="24">
        <f t="shared" si="5"/>
        <v>8702595</v>
      </c>
      <c r="L48" s="24"/>
      <c r="M48" s="24">
        <v>10207773</v>
      </c>
      <c r="N48" s="24"/>
      <c r="O48" s="24">
        <v>18910368</v>
      </c>
      <c r="P48" s="24"/>
      <c r="Q48" s="24">
        <v>27266066</v>
      </c>
      <c r="R48" s="24"/>
      <c r="S48" s="24">
        <f t="shared" si="6"/>
        <v>12162694</v>
      </c>
      <c r="T48" s="24"/>
      <c r="U48" s="24">
        <v>4475779</v>
      </c>
      <c r="V48" s="24"/>
      <c r="W48" s="24">
        <v>43904539</v>
      </c>
      <c r="X48" s="24"/>
      <c r="Y48" s="24">
        <f t="shared" si="7"/>
        <v>0</v>
      </c>
    </row>
    <row r="49" spans="1:25" s="93" customFormat="1" ht="12" hidden="1">
      <c r="A49" s="23" t="s">
        <v>241</v>
      </c>
      <c r="B49" s="23"/>
      <c r="C49" s="24">
        <f t="shared" si="4"/>
        <v>0</v>
      </c>
      <c r="D49" s="24"/>
      <c r="E49" s="24"/>
      <c r="F49" s="24"/>
      <c r="G49" s="24"/>
      <c r="H49" s="24"/>
      <c r="I49" s="24"/>
      <c r="J49" s="24"/>
      <c r="K49" s="24">
        <f t="shared" si="5"/>
        <v>0</v>
      </c>
      <c r="L49" s="24"/>
      <c r="M49" s="24"/>
      <c r="N49" s="24"/>
      <c r="O49" s="24"/>
      <c r="P49" s="24"/>
      <c r="Q49" s="24"/>
      <c r="R49" s="24"/>
      <c r="S49" s="24">
        <f t="shared" si="6"/>
        <v>0</v>
      </c>
      <c r="T49" s="24"/>
      <c r="U49" s="24"/>
      <c r="V49" s="24"/>
      <c r="W49" s="24"/>
      <c r="X49" s="24"/>
      <c r="Y49" s="24">
        <f t="shared" si="7"/>
        <v>0</v>
      </c>
    </row>
    <row r="50" spans="1:25" s="93" customFormat="1" ht="12">
      <c r="A50" s="23" t="s">
        <v>46</v>
      </c>
      <c r="B50" s="23"/>
      <c r="C50" s="24">
        <f t="shared" si="4"/>
        <v>50137327</v>
      </c>
      <c r="D50" s="24"/>
      <c r="E50" s="24">
        <f>4167879+88773555</f>
        <v>92941434</v>
      </c>
      <c r="F50" s="24"/>
      <c r="G50" s="24">
        <v>100599</v>
      </c>
      <c r="H50" s="24"/>
      <c r="I50" s="24">
        <v>143179360</v>
      </c>
      <c r="J50" s="24"/>
      <c r="K50" s="24">
        <f t="shared" si="5"/>
        <v>18222015</v>
      </c>
      <c r="L50" s="24"/>
      <c r="M50" s="24">
        <v>28023327</v>
      </c>
      <c r="N50" s="24"/>
      <c r="O50" s="24">
        <v>46245342</v>
      </c>
      <c r="P50" s="24"/>
      <c r="Q50" s="24">
        <v>67394515</v>
      </c>
      <c r="R50" s="24"/>
      <c r="S50" s="24">
        <f t="shared" si="6"/>
        <v>26226578</v>
      </c>
      <c r="T50" s="24"/>
      <c r="U50" s="24">
        <v>3312925</v>
      </c>
      <c r="V50" s="24"/>
      <c r="W50" s="24">
        <v>96934018</v>
      </c>
      <c r="X50" s="24"/>
      <c r="Y50" s="24">
        <f t="shared" si="7"/>
        <v>0</v>
      </c>
    </row>
    <row r="51" spans="1:27" s="93" customFormat="1" ht="12">
      <c r="A51" s="23" t="s">
        <v>47</v>
      </c>
      <c r="B51" s="23"/>
      <c r="C51" s="24">
        <f t="shared" si="4"/>
        <v>36025879</v>
      </c>
      <c r="D51" s="24"/>
      <c r="E51" s="24">
        <f>3511122+53263251</f>
        <v>56774373</v>
      </c>
      <c r="F51" s="24"/>
      <c r="G51" s="24">
        <v>0</v>
      </c>
      <c r="H51" s="24"/>
      <c r="I51" s="24">
        <v>92800252</v>
      </c>
      <c r="J51" s="24"/>
      <c r="K51" s="24">
        <f t="shared" si="5"/>
        <v>11053335</v>
      </c>
      <c r="L51" s="24"/>
      <c r="M51" s="24">
        <v>9929450</v>
      </c>
      <c r="N51" s="24"/>
      <c r="O51" s="24">
        <v>20982785</v>
      </c>
      <c r="P51" s="24"/>
      <c r="Q51" s="24">
        <v>46412153</v>
      </c>
      <c r="R51" s="24"/>
      <c r="S51" s="24">
        <f t="shared" si="6"/>
        <v>19198230</v>
      </c>
      <c r="T51" s="24"/>
      <c r="U51" s="24">
        <v>6207084</v>
      </c>
      <c r="V51" s="24"/>
      <c r="W51" s="24">
        <v>71817467</v>
      </c>
      <c r="X51" s="24"/>
      <c r="Y51" s="24">
        <f t="shared" si="7"/>
        <v>0</v>
      </c>
      <c r="AA51" s="93" t="s">
        <v>227</v>
      </c>
    </row>
    <row r="52" spans="1:25" s="93" customFormat="1" ht="12">
      <c r="A52" s="23" t="s">
        <v>48</v>
      </c>
      <c r="B52" s="23"/>
      <c r="C52" s="24">
        <f t="shared" si="4"/>
        <v>179363069</v>
      </c>
      <c r="D52" s="24"/>
      <c r="E52" s="24">
        <f>29007947+115877427</f>
        <v>144885374</v>
      </c>
      <c r="F52" s="24"/>
      <c r="G52" s="24">
        <v>0</v>
      </c>
      <c r="H52" s="24"/>
      <c r="I52" s="24">
        <v>324248443</v>
      </c>
      <c r="J52" s="24"/>
      <c r="K52" s="24">
        <f t="shared" si="5"/>
        <v>52656378</v>
      </c>
      <c r="L52" s="24"/>
      <c r="M52" s="24">
        <v>39125795</v>
      </c>
      <c r="N52" s="24"/>
      <c r="O52" s="24">
        <v>91782173</v>
      </c>
      <c r="P52" s="24"/>
      <c r="Q52" s="24">
        <v>120554331</v>
      </c>
      <c r="R52" s="24"/>
      <c r="S52" s="24">
        <f t="shared" si="6"/>
        <v>78729361</v>
      </c>
      <c r="T52" s="24"/>
      <c r="U52" s="24">
        <v>33182578</v>
      </c>
      <c r="V52" s="24"/>
      <c r="W52" s="24">
        <v>232466270</v>
      </c>
      <c r="X52" s="24"/>
      <c r="Y52" s="24">
        <f t="shared" si="7"/>
        <v>0</v>
      </c>
    </row>
    <row r="53" spans="1:25" s="93" customFormat="1" ht="12" hidden="1">
      <c r="A53" s="23" t="s">
        <v>236</v>
      </c>
      <c r="B53" s="23"/>
      <c r="C53" s="24">
        <f t="shared" si="4"/>
        <v>0</v>
      </c>
      <c r="D53" s="24"/>
      <c r="E53" s="24">
        <v>0</v>
      </c>
      <c r="F53" s="24"/>
      <c r="G53" s="24">
        <v>0</v>
      </c>
      <c r="H53" s="24"/>
      <c r="I53" s="24">
        <v>0</v>
      </c>
      <c r="J53" s="24"/>
      <c r="K53" s="24">
        <f t="shared" si="5"/>
        <v>0</v>
      </c>
      <c r="L53" s="24"/>
      <c r="M53" s="24">
        <v>0</v>
      </c>
      <c r="N53" s="24"/>
      <c r="O53" s="24">
        <v>0</v>
      </c>
      <c r="P53" s="24"/>
      <c r="Q53" s="24">
        <v>0</v>
      </c>
      <c r="R53" s="24"/>
      <c r="S53" s="24">
        <f t="shared" si="6"/>
        <v>0</v>
      </c>
      <c r="T53" s="24"/>
      <c r="U53" s="24">
        <v>0</v>
      </c>
      <c r="V53" s="24"/>
      <c r="W53" s="24">
        <v>0</v>
      </c>
      <c r="X53" s="24"/>
      <c r="Y53" s="24">
        <f t="shared" si="7"/>
        <v>0</v>
      </c>
    </row>
    <row r="54" spans="1:25" s="93" customFormat="1" ht="12">
      <c r="A54" s="23" t="s">
        <v>49</v>
      </c>
      <c r="B54" s="23"/>
      <c r="C54" s="24">
        <f t="shared" si="4"/>
        <v>90150289</v>
      </c>
      <c r="D54" s="24"/>
      <c r="E54" s="24">
        <f>7730083+55223469</f>
        <v>62953552</v>
      </c>
      <c r="F54" s="24"/>
      <c r="G54" s="24">
        <v>0</v>
      </c>
      <c r="H54" s="24"/>
      <c r="I54" s="24">
        <v>153103841</v>
      </c>
      <c r="J54" s="24"/>
      <c r="K54" s="24">
        <f t="shared" si="5"/>
        <v>33030999</v>
      </c>
      <c r="L54" s="24"/>
      <c r="M54" s="24">
        <v>11297654</v>
      </c>
      <c r="N54" s="24"/>
      <c r="O54" s="24">
        <v>44328653</v>
      </c>
      <c r="P54" s="24"/>
      <c r="Q54" s="24">
        <v>51580909</v>
      </c>
      <c r="R54" s="24"/>
      <c r="S54" s="24">
        <f t="shared" si="6"/>
        <v>26352190</v>
      </c>
      <c r="T54" s="24"/>
      <c r="U54" s="24">
        <v>30842089</v>
      </c>
      <c r="V54" s="24"/>
      <c r="W54" s="24">
        <v>108775188</v>
      </c>
      <c r="X54" s="24"/>
      <c r="Y54" s="24">
        <f t="shared" si="7"/>
        <v>0</v>
      </c>
    </row>
    <row r="55" spans="1:25" s="93" customFormat="1" ht="12">
      <c r="A55" s="23" t="s">
        <v>50</v>
      </c>
      <c r="B55" s="23"/>
      <c r="C55" s="24">
        <f t="shared" si="4"/>
        <v>32000849</v>
      </c>
      <c r="D55" s="24"/>
      <c r="E55" s="24">
        <f>4104446+62625352</f>
        <v>66729798</v>
      </c>
      <c r="F55" s="24"/>
      <c r="G55" s="24">
        <v>0</v>
      </c>
      <c r="H55" s="24"/>
      <c r="I55" s="24">
        <v>98730647</v>
      </c>
      <c r="J55" s="24"/>
      <c r="K55" s="24">
        <f t="shared" si="5"/>
        <v>9892460</v>
      </c>
      <c r="L55" s="24"/>
      <c r="M55" s="24">
        <v>12750906</v>
      </c>
      <c r="N55" s="24"/>
      <c r="O55" s="24">
        <v>22643366</v>
      </c>
      <c r="P55" s="24"/>
      <c r="Q55" s="24">
        <v>53910423</v>
      </c>
      <c r="R55" s="24"/>
      <c r="S55" s="24">
        <f t="shared" si="6"/>
        <v>1491969</v>
      </c>
      <c r="T55" s="24"/>
      <c r="U55" s="24">
        <v>20684889</v>
      </c>
      <c r="V55" s="24"/>
      <c r="W55" s="24">
        <v>76087281</v>
      </c>
      <c r="X55" s="24"/>
      <c r="Y55" s="24">
        <f t="shared" si="7"/>
        <v>0</v>
      </c>
    </row>
    <row r="56" spans="1:25" s="93" customFormat="1" ht="12">
      <c r="A56" s="23" t="s">
        <v>246</v>
      </c>
      <c r="B56" s="23"/>
      <c r="C56" s="24">
        <f t="shared" si="4"/>
        <v>225314682</v>
      </c>
      <c r="D56" s="24"/>
      <c r="E56" s="24">
        <f>9161302+130423865</f>
        <v>139585167</v>
      </c>
      <c r="F56" s="24"/>
      <c r="G56" s="24">
        <v>0</v>
      </c>
      <c r="H56" s="24"/>
      <c r="I56" s="24">
        <v>364899849</v>
      </c>
      <c r="J56" s="24"/>
      <c r="K56" s="24">
        <f t="shared" si="5"/>
        <v>82568859</v>
      </c>
      <c r="L56" s="24"/>
      <c r="M56" s="24">
        <v>40265273</v>
      </c>
      <c r="N56" s="24"/>
      <c r="O56" s="24">
        <v>122834132</v>
      </c>
      <c r="P56" s="24"/>
      <c r="Q56" s="24">
        <v>107113398</v>
      </c>
      <c r="R56" s="24"/>
      <c r="S56" s="24">
        <f t="shared" si="6"/>
        <v>11172308</v>
      </c>
      <c r="T56" s="24"/>
      <c r="U56" s="24">
        <v>123780011</v>
      </c>
      <c r="V56" s="24"/>
      <c r="W56" s="24">
        <v>242065717</v>
      </c>
      <c r="X56" s="24"/>
      <c r="Y56" s="24">
        <f t="shared" si="7"/>
        <v>0</v>
      </c>
    </row>
    <row r="57" spans="1:26" s="93" customFormat="1" ht="12">
      <c r="A57" s="23" t="s">
        <v>183</v>
      </c>
      <c r="B57" s="23"/>
      <c r="C57" s="24">
        <f t="shared" si="4"/>
        <v>392267231</v>
      </c>
      <c r="D57" s="24"/>
      <c r="E57" s="24">
        <f>48867802+198903063</f>
        <v>247770865</v>
      </c>
      <c r="F57" s="24"/>
      <c r="G57" s="24">
        <v>0</v>
      </c>
      <c r="H57" s="24"/>
      <c r="I57" s="24">
        <v>640038096</v>
      </c>
      <c r="J57" s="24"/>
      <c r="K57" s="24">
        <f t="shared" si="5"/>
        <v>189004565</v>
      </c>
      <c r="L57" s="24"/>
      <c r="M57" s="24">
        <v>87116801</v>
      </c>
      <c r="N57" s="24"/>
      <c r="O57" s="24">
        <v>276121366</v>
      </c>
      <c r="P57" s="24"/>
      <c r="Q57" s="24">
        <v>183348749</v>
      </c>
      <c r="R57" s="24"/>
      <c r="S57" s="24">
        <f t="shared" si="6"/>
        <v>104994749</v>
      </c>
      <c r="T57" s="24"/>
      <c r="U57" s="24">
        <v>75573232</v>
      </c>
      <c r="V57" s="24"/>
      <c r="W57" s="24">
        <v>363916730</v>
      </c>
      <c r="X57" s="24"/>
      <c r="Y57" s="24">
        <f t="shared" si="7"/>
        <v>0</v>
      </c>
      <c r="Z57" s="93" t="s">
        <v>227</v>
      </c>
    </row>
    <row r="58" spans="1:25" s="93" customFormat="1" ht="12" hidden="1">
      <c r="A58" s="23" t="s">
        <v>52</v>
      </c>
      <c r="B58" s="23"/>
      <c r="C58" s="24">
        <f t="shared" si="4"/>
        <v>0</v>
      </c>
      <c r="D58" s="24"/>
      <c r="E58" s="24">
        <v>0</v>
      </c>
      <c r="F58" s="24"/>
      <c r="G58" s="24">
        <v>0</v>
      </c>
      <c r="H58" s="24"/>
      <c r="I58" s="24">
        <v>0</v>
      </c>
      <c r="J58" s="24"/>
      <c r="K58" s="24">
        <f t="shared" si="5"/>
        <v>0</v>
      </c>
      <c r="L58" s="24"/>
      <c r="M58" s="24">
        <v>0</v>
      </c>
      <c r="N58" s="24"/>
      <c r="O58" s="24">
        <v>0</v>
      </c>
      <c r="P58" s="24"/>
      <c r="Q58" s="24">
        <v>0</v>
      </c>
      <c r="R58" s="24"/>
      <c r="S58" s="24">
        <f t="shared" si="6"/>
        <v>0</v>
      </c>
      <c r="T58" s="24"/>
      <c r="U58" s="24">
        <v>0</v>
      </c>
      <c r="V58" s="24"/>
      <c r="W58" s="24">
        <v>0</v>
      </c>
      <c r="X58" s="24"/>
      <c r="Y58" s="24">
        <f t="shared" si="7"/>
        <v>0</v>
      </c>
    </row>
    <row r="59" spans="1:26" s="93" customFormat="1" ht="12">
      <c r="A59" s="23" t="s">
        <v>53</v>
      </c>
      <c r="B59" s="23"/>
      <c r="C59" s="24">
        <f t="shared" si="4"/>
        <v>143539877</v>
      </c>
      <c r="D59" s="24"/>
      <c r="E59" s="24">
        <f>4143603+133785426</f>
        <v>137929029</v>
      </c>
      <c r="F59" s="24"/>
      <c r="G59" s="24">
        <v>898835</v>
      </c>
      <c r="H59" s="24"/>
      <c r="I59" s="24">
        <v>282367741</v>
      </c>
      <c r="J59" s="24"/>
      <c r="K59" s="24">
        <f t="shared" si="5"/>
        <v>66365482</v>
      </c>
      <c r="L59" s="24"/>
      <c r="M59" s="24">
        <v>40141718</v>
      </c>
      <c r="N59" s="24"/>
      <c r="O59" s="24">
        <v>106507200</v>
      </c>
      <c r="P59" s="24"/>
      <c r="Q59" s="24">
        <v>98562676</v>
      </c>
      <c r="R59" s="24"/>
      <c r="S59" s="24">
        <f t="shared" si="6"/>
        <v>67984216</v>
      </c>
      <c r="T59" s="24"/>
      <c r="U59" s="24">
        <v>9313649</v>
      </c>
      <c r="V59" s="24"/>
      <c r="W59" s="24">
        <v>175860541</v>
      </c>
      <c r="X59" s="24"/>
      <c r="Y59" s="24">
        <f t="shared" si="7"/>
        <v>0</v>
      </c>
      <c r="Z59" s="94"/>
    </row>
    <row r="60" spans="1:25" s="93" customFormat="1" ht="12">
      <c r="A60" s="23" t="s">
        <v>54</v>
      </c>
      <c r="B60" s="23"/>
      <c r="C60" s="24">
        <f t="shared" si="4"/>
        <v>41853191</v>
      </c>
      <c r="D60" s="24"/>
      <c r="E60" s="24">
        <f>8716313+48626222</f>
        <v>57342535</v>
      </c>
      <c r="F60" s="24"/>
      <c r="G60" s="24">
        <v>0</v>
      </c>
      <c r="H60" s="24"/>
      <c r="I60" s="24">
        <v>99195726</v>
      </c>
      <c r="J60" s="24"/>
      <c r="K60" s="24">
        <f t="shared" si="5"/>
        <v>13948695</v>
      </c>
      <c r="L60" s="24"/>
      <c r="M60" s="24">
        <v>9471416</v>
      </c>
      <c r="N60" s="24"/>
      <c r="O60" s="24">
        <v>23420111</v>
      </c>
      <c r="P60" s="24"/>
      <c r="Q60" s="24">
        <v>49187346</v>
      </c>
      <c r="R60" s="24"/>
      <c r="S60" s="24">
        <f t="shared" si="6"/>
        <v>22115405</v>
      </c>
      <c r="T60" s="24"/>
      <c r="U60" s="24">
        <v>4472864</v>
      </c>
      <c r="V60" s="24"/>
      <c r="W60" s="24">
        <v>75775615</v>
      </c>
      <c r="X60" s="24"/>
      <c r="Y60" s="24">
        <f t="shared" si="7"/>
        <v>0</v>
      </c>
    </row>
    <row r="61" spans="1:25" s="93" customFormat="1" ht="12">
      <c r="A61" s="23" t="s">
        <v>55</v>
      </c>
      <c r="B61" s="23"/>
      <c r="C61" s="24">
        <f t="shared" si="4"/>
        <v>88865362</v>
      </c>
      <c r="D61" s="24"/>
      <c r="E61" s="24">
        <f>3271950+56153555</f>
        <v>59425505</v>
      </c>
      <c r="F61" s="24"/>
      <c r="G61" s="24">
        <v>6500</v>
      </c>
      <c r="H61" s="24"/>
      <c r="I61" s="24">
        <v>148297367</v>
      </c>
      <c r="J61" s="24"/>
      <c r="K61" s="24">
        <f t="shared" si="5"/>
        <v>34747943</v>
      </c>
      <c r="L61" s="24"/>
      <c r="M61" s="24">
        <v>12944983</v>
      </c>
      <c r="N61" s="24"/>
      <c r="O61" s="24">
        <v>47692926</v>
      </c>
      <c r="P61" s="24"/>
      <c r="Q61" s="24">
        <v>51694824</v>
      </c>
      <c r="R61" s="24"/>
      <c r="S61" s="24">
        <f t="shared" si="6"/>
        <v>41040720</v>
      </c>
      <c r="T61" s="24"/>
      <c r="U61" s="24">
        <v>7868897</v>
      </c>
      <c r="V61" s="24"/>
      <c r="W61" s="24">
        <v>100604441</v>
      </c>
      <c r="X61" s="24"/>
      <c r="Y61" s="24">
        <f t="shared" si="7"/>
        <v>0</v>
      </c>
    </row>
    <row r="62" spans="1:25" s="93" customFormat="1" ht="12" hidden="1">
      <c r="A62" s="23" t="s">
        <v>171</v>
      </c>
      <c r="B62" s="23"/>
      <c r="C62" s="24">
        <f t="shared" si="4"/>
        <v>0</v>
      </c>
      <c r="D62" s="24"/>
      <c r="E62" s="24">
        <v>0</v>
      </c>
      <c r="F62" s="24"/>
      <c r="G62" s="24">
        <v>0</v>
      </c>
      <c r="H62" s="24"/>
      <c r="I62" s="24">
        <v>0</v>
      </c>
      <c r="J62" s="24"/>
      <c r="K62" s="24">
        <f t="shared" si="5"/>
        <v>0</v>
      </c>
      <c r="L62" s="24"/>
      <c r="M62" s="24">
        <v>0</v>
      </c>
      <c r="N62" s="24"/>
      <c r="O62" s="24">
        <v>0</v>
      </c>
      <c r="P62" s="24"/>
      <c r="Q62" s="24">
        <v>0</v>
      </c>
      <c r="R62" s="24"/>
      <c r="S62" s="24">
        <f t="shared" si="6"/>
        <v>0</v>
      </c>
      <c r="T62" s="24"/>
      <c r="U62" s="24">
        <v>0</v>
      </c>
      <c r="V62" s="24"/>
      <c r="W62" s="24">
        <v>0</v>
      </c>
      <c r="X62" s="24"/>
      <c r="Y62" s="24">
        <f t="shared" si="7"/>
        <v>0</v>
      </c>
    </row>
    <row r="63" spans="1:25" s="93" customFormat="1" ht="12" hidden="1">
      <c r="A63" s="23" t="s">
        <v>56</v>
      </c>
      <c r="B63" s="23"/>
      <c r="C63" s="24">
        <f t="shared" si="4"/>
        <v>0</v>
      </c>
      <c r="D63" s="24"/>
      <c r="E63" s="24"/>
      <c r="F63" s="24"/>
      <c r="G63" s="24"/>
      <c r="H63" s="24"/>
      <c r="I63" s="24"/>
      <c r="J63" s="24"/>
      <c r="K63" s="24">
        <f t="shared" si="5"/>
        <v>0</v>
      </c>
      <c r="L63" s="24"/>
      <c r="M63" s="24"/>
      <c r="N63" s="24"/>
      <c r="O63" s="24"/>
      <c r="P63" s="24"/>
      <c r="Q63" s="24"/>
      <c r="R63" s="24"/>
      <c r="S63" s="24">
        <f t="shared" si="6"/>
        <v>0</v>
      </c>
      <c r="T63" s="24"/>
      <c r="U63" s="24"/>
      <c r="V63" s="24"/>
      <c r="W63" s="24"/>
      <c r="X63" s="24"/>
      <c r="Y63" s="24">
        <f t="shared" si="7"/>
        <v>0</v>
      </c>
    </row>
    <row r="64" spans="1:25" s="93" customFormat="1" ht="12">
      <c r="A64" s="23" t="s">
        <v>57</v>
      </c>
      <c r="B64" s="23"/>
      <c r="C64" s="24">
        <f t="shared" si="4"/>
        <v>75249567</v>
      </c>
      <c r="D64" s="24"/>
      <c r="E64" s="24">
        <f>78599958+5517735</f>
        <v>84117693</v>
      </c>
      <c r="F64" s="24"/>
      <c r="G64" s="24">
        <v>0</v>
      </c>
      <c r="H64" s="24"/>
      <c r="I64" s="24">
        <v>159367260</v>
      </c>
      <c r="J64" s="24"/>
      <c r="K64" s="24">
        <f t="shared" si="5"/>
        <v>17735503</v>
      </c>
      <c r="L64" s="24"/>
      <c r="M64" s="24">
        <v>8160785</v>
      </c>
      <c r="N64" s="24"/>
      <c r="O64" s="24">
        <v>25896288</v>
      </c>
      <c r="P64" s="24"/>
      <c r="Q64" s="24">
        <v>78520372</v>
      </c>
      <c r="R64" s="24"/>
      <c r="S64" s="24">
        <f t="shared" si="6"/>
        <v>36922276</v>
      </c>
      <c r="T64" s="24"/>
      <c r="U64" s="24">
        <v>18028324</v>
      </c>
      <c r="V64" s="24"/>
      <c r="W64" s="24">
        <v>133470972</v>
      </c>
      <c r="X64" s="24"/>
      <c r="Y64" s="24">
        <f t="shared" si="7"/>
        <v>0</v>
      </c>
    </row>
    <row r="65" spans="1:25" s="93" customFormat="1" ht="12">
      <c r="A65" s="23" t="s">
        <v>58</v>
      </c>
      <c r="B65" s="23"/>
      <c r="C65" s="24">
        <f t="shared" si="4"/>
        <v>10175181</v>
      </c>
      <c r="D65" s="24"/>
      <c r="E65" s="24">
        <f>106048+13183142</f>
        <v>13289190</v>
      </c>
      <c r="F65" s="24"/>
      <c r="G65" s="24">
        <v>0</v>
      </c>
      <c r="H65" s="24"/>
      <c r="I65" s="24">
        <v>23464371</v>
      </c>
      <c r="J65" s="24"/>
      <c r="K65" s="24">
        <f t="shared" si="5"/>
        <v>2548018</v>
      </c>
      <c r="L65" s="24"/>
      <c r="M65" s="24">
        <v>550388</v>
      </c>
      <c r="N65" s="24"/>
      <c r="O65" s="24">
        <v>3098406</v>
      </c>
      <c r="P65" s="24"/>
      <c r="Q65" s="24">
        <v>13037532</v>
      </c>
      <c r="R65" s="24"/>
      <c r="S65" s="24">
        <f t="shared" si="6"/>
        <v>7239347</v>
      </c>
      <c r="T65" s="24"/>
      <c r="U65" s="24">
        <v>89086</v>
      </c>
      <c r="V65" s="24"/>
      <c r="W65" s="24">
        <v>20365965</v>
      </c>
      <c r="X65" s="24"/>
      <c r="Y65" s="24">
        <f t="shared" si="7"/>
        <v>0</v>
      </c>
    </row>
    <row r="66" spans="1:25" s="93" customFormat="1" ht="12">
      <c r="A66" s="23" t="s">
        <v>59</v>
      </c>
      <c r="B66" s="23"/>
      <c r="C66" s="24">
        <f t="shared" si="4"/>
        <v>551150831</v>
      </c>
      <c r="D66" s="24"/>
      <c r="E66" s="24">
        <f>356540085+171392289</f>
        <v>527932374</v>
      </c>
      <c r="F66" s="24"/>
      <c r="G66" s="24">
        <v>0</v>
      </c>
      <c r="H66" s="24"/>
      <c r="I66" s="24">
        <v>1079083205</v>
      </c>
      <c r="J66" s="24"/>
      <c r="K66" s="24">
        <f t="shared" si="5"/>
        <v>210020069</v>
      </c>
      <c r="L66" s="24"/>
      <c r="M66" s="24">
        <v>67794562</v>
      </c>
      <c r="N66" s="24"/>
      <c r="O66" s="24">
        <v>277814631</v>
      </c>
      <c r="P66" s="24"/>
      <c r="Q66" s="24">
        <v>482172356</v>
      </c>
      <c r="R66" s="24"/>
      <c r="S66" s="24">
        <f t="shared" si="6"/>
        <v>81496789</v>
      </c>
      <c r="T66" s="24"/>
      <c r="U66" s="24">
        <v>237599429</v>
      </c>
      <c r="V66" s="24"/>
      <c r="W66" s="24">
        <v>801268574</v>
      </c>
      <c r="X66" s="24"/>
      <c r="Y66" s="24">
        <f t="shared" si="7"/>
        <v>0</v>
      </c>
    </row>
    <row r="67" spans="1:25" s="93" customFormat="1" ht="12" hidden="1">
      <c r="A67" s="23" t="s">
        <v>60</v>
      </c>
      <c r="B67" s="23"/>
      <c r="C67" s="24">
        <f t="shared" si="4"/>
        <v>0</v>
      </c>
      <c r="D67" s="24"/>
      <c r="E67" s="24"/>
      <c r="F67" s="24"/>
      <c r="G67" s="24"/>
      <c r="H67" s="24"/>
      <c r="I67" s="24"/>
      <c r="J67" s="24"/>
      <c r="K67" s="24">
        <f t="shared" si="5"/>
        <v>0</v>
      </c>
      <c r="L67" s="24"/>
      <c r="M67" s="24"/>
      <c r="N67" s="24"/>
      <c r="O67" s="24"/>
      <c r="P67" s="24"/>
      <c r="Q67" s="24"/>
      <c r="R67" s="24"/>
      <c r="S67" s="24">
        <f t="shared" si="6"/>
        <v>0</v>
      </c>
      <c r="T67" s="24"/>
      <c r="U67" s="24"/>
      <c r="V67" s="24"/>
      <c r="W67" s="24"/>
      <c r="X67" s="24"/>
      <c r="Y67" s="24">
        <f t="shared" si="7"/>
        <v>0</v>
      </c>
    </row>
    <row r="68" spans="1:25" s="93" customFormat="1" ht="12">
      <c r="A68" s="23" t="s">
        <v>97</v>
      </c>
      <c r="B68" s="23"/>
      <c r="C68" s="24">
        <f t="shared" si="4"/>
        <v>19847459</v>
      </c>
      <c r="D68" s="24"/>
      <c r="E68" s="24">
        <v>30014968</v>
      </c>
      <c r="F68" s="24"/>
      <c r="G68" s="24">
        <v>0</v>
      </c>
      <c r="H68" s="24"/>
      <c r="I68" s="24">
        <v>49862427</v>
      </c>
      <c r="J68" s="24"/>
      <c r="K68" s="24">
        <f t="shared" si="5"/>
        <v>9438610</v>
      </c>
      <c r="L68" s="24"/>
      <c r="M68" s="24">
        <v>2965648</v>
      </c>
      <c r="N68" s="24"/>
      <c r="O68" s="24">
        <v>12404258</v>
      </c>
      <c r="P68" s="24"/>
      <c r="Q68" s="24">
        <v>24308374</v>
      </c>
      <c r="R68" s="24"/>
      <c r="S68" s="24">
        <f t="shared" si="6"/>
        <v>11940743</v>
      </c>
      <c r="T68" s="24"/>
      <c r="U68" s="24">
        <v>1209052</v>
      </c>
      <c r="V68" s="24"/>
      <c r="W68" s="24">
        <v>37458169</v>
      </c>
      <c r="X68" s="24"/>
      <c r="Y68" s="24">
        <f t="shared" si="7"/>
        <v>0</v>
      </c>
    </row>
    <row r="69" spans="1:25" s="93" customFormat="1" ht="12">
      <c r="A69" s="23" t="s">
        <v>61</v>
      </c>
      <c r="B69" s="23"/>
      <c r="C69" s="24">
        <f t="shared" si="4"/>
        <v>70724889</v>
      </c>
      <c r="D69" s="24"/>
      <c r="E69" s="24">
        <f>38287571+63377285</f>
        <v>101664856</v>
      </c>
      <c r="F69" s="24"/>
      <c r="G69" s="24">
        <v>9253</v>
      </c>
      <c r="H69" s="24"/>
      <c r="I69" s="24">
        <v>172398998</v>
      </c>
      <c r="J69" s="24"/>
      <c r="K69" s="24">
        <f t="shared" si="5"/>
        <v>27983421</v>
      </c>
      <c r="L69" s="24"/>
      <c r="M69" s="24">
        <v>26171983</v>
      </c>
      <c r="N69" s="24"/>
      <c r="O69" s="24">
        <v>54155404</v>
      </c>
      <c r="P69" s="24"/>
      <c r="Q69" s="24">
        <v>76266104</v>
      </c>
      <c r="R69" s="24"/>
      <c r="S69" s="24">
        <f t="shared" si="6"/>
        <v>30760092</v>
      </c>
      <c r="T69" s="24"/>
      <c r="U69" s="24">
        <v>11217398</v>
      </c>
      <c r="V69" s="24"/>
      <c r="W69" s="24">
        <v>118243594</v>
      </c>
      <c r="X69" s="24"/>
      <c r="Y69" s="24">
        <f t="shared" si="7"/>
        <v>0</v>
      </c>
    </row>
    <row r="70" spans="1:25" ht="12.75">
      <c r="A70" s="23" t="s">
        <v>62</v>
      </c>
      <c r="B70" s="23"/>
      <c r="C70" s="24">
        <f t="shared" si="4"/>
        <v>9650467</v>
      </c>
      <c r="D70" s="24"/>
      <c r="E70" s="24">
        <f>13357655+10115529</f>
        <v>23473184</v>
      </c>
      <c r="F70" s="24"/>
      <c r="G70" s="24">
        <v>0</v>
      </c>
      <c r="H70" s="24"/>
      <c r="I70" s="24">
        <v>33123651</v>
      </c>
      <c r="J70" s="24"/>
      <c r="K70" s="24">
        <f t="shared" si="5"/>
        <v>2843004</v>
      </c>
      <c r="L70" s="24"/>
      <c r="M70" s="24">
        <v>1023815</v>
      </c>
      <c r="N70" s="24"/>
      <c r="O70" s="24">
        <v>3866819</v>
      </c>
      <c r="P70" s="24"/>
      <c r="Q70" s="24">
        <v>22625360</v>
      </c>
      <c r="R70" s="24"/>
      <c r="S70" s="24">
        <f t="shared" si="6"/>
        <v>5754935</v>
      </c>
      <c r="T70" s="24"/>
      <c r="U70" s="24">
        <v>876537</v>
      </c>
      <c r="V70" s="24"/>
      <c r="W70" s="24">
        <v>29256832</v>
      </c>
      <c r="X70" s="25"/>
      <c r="Y70" s="25">
        <f>I70-O70-W70</f>
        <v>0</v>
      </c>
    </row>
    <row r="71" spans="1:25" s="93" customFormat="1" ht="12">
      <c r="A71" s="23" t="s">
        <v>224</v>
      </c>
      <c r="B71" s="23"/>
      <c r="C71" s="24">
        <f t="shared" si="4"/>
        <v>58838446</v>
      </c>
      <c r="D71" s="24"/>
      <c r="E71" s="24">
        <v>36387542</v>
      </c>
      <c r="F71" s="24"/>
      <c r="G71" s="24">
        <v>0</v>
      </c>
      <c r="H71" s="24"/>
      <c r="I71" s="24">
        <v>95225988</v>
      </c>
      <c r="J71" s="24"/>
      <c r="K71" s="24">
        <f t="shared" si="5"/>
        <v>14362517</v>
      </c>
      <c r="L71" s="24"/>
      <c r="M71" s="24">
        <v>23864419</v>
      </c>
      <c r="N71" s="24"/>
      <c r="O71" s="24">
        <v>38226936</v>
      </c>
      <c r="P71" s="24"/>
      <c r="Q71" s="24">
        <v>28886372</v>
      </c>
      <c r="R71" s="24"/>
      <c r="S71" s="24">
        <f t="shared" si="6"/>
        <v>17346091</v>
      </c>
      <c r="T71" s="24"/>
      <c r="U71" s="24">
        <v>10766589</v>
      </c>
      <c r="V71" s="24"/>
      <c r="W71" s="24">
        <v>56999052</v>
      </c>
      <c r="X71" s="24"/>
      <c r="Y71" s="24">
        <f t="shared" si="7"/>
        <v>0</v>
      </c>
    </row>
    <row r="72" spans="1:25" s="93" customFormat="1" ht="12" hidden="1">
      <c r="A72" s="23" t="s">
        <v>132</v>
      </c>
      <c r="B72" s="23"/>
      <c r="C72" s="24">
        <f t="shared" si="4"/>
        <v>0</v>
      </c>
      <c r="D72" s="24"/>
      <c r="E72" s="24"/>
      <c r="F72" s="24"/>
      <c r="G72" s="24"/>
      <c r="H72" s="24"/>
      <c r="I72" s="24"/>
      <c r="J72" s="24"/>
      <c r="K72" s="24">
        <f t="shared" si="5"/>
        <v>0</v>
      </c>
      <c r="L72" s="24"/>
      <c r="M72" s="24"/>
      <c r="N72" s="24"/>
      <c r="O72" s="24"/>
      <c r="P72" s="24"/>
      <c r="Q72" s="24"/>
      <c r="R72" s="24"/>
      <c r="S72" s="24">
        <f t="shared" si="6"/>
        <v>0</v>
      </c>
      <c r="T72" s="24"/>
      <c r="U72" s="24"/>
      <c r="V72" s="24"/>
      <c r="W72" s="24"/>
      <c r="X72" s="24"/>
      <c r="Y72" s="24">
        <f t="shared" si="7"/>
        <v>0</v>
      </c>
    </row>
    <row r="73" spans="1:25" s="93" customFormat="1" ht="12" hidden="1">
      <c r="A73" s="23" t="s">
        <v>64</v>
      </c>
      <c r="B73" s="23"/>
      <c r="C73" s="24">
        <f t="shared" si="4"/>
        <v>0</v>
      </c>
      <c r="D73" s="24"/>
      <c r="E73" s="24"/>
      <c r="F73" s="24"/>
      <c r="G73" s="24"/>
      <c r="H73" s="24"/>
      <c r="I73" s="24"/>
      <c r="J73" s="24"/>
      <c r="K73" s="24">
        <f t="shared" si="5"/>
        <v>0</v>
      </c>
      <c r="L73" s="24"/>
      <c r="M73" s="24"/>
      <c r="N73" s="24"/>
      <c r="O73" s="24"/>
      <c r="P73" s="24"/>
      <c r="Q73" s="24"/>
      <c r="R73" s="24"/>
      <c r="S73" s="24">
        <f t="shared" si="6"/>
        <v>0</v>
      </c>
      <c r="T73" s="24"/>
      <c r="U73" s="24"/>
      <c r="V73" s="24"/>
      <c r="W73" s="24"/>
      <c r="X73" s="24"/>
      <c r="Y73" s="24">
        <f t="shared" si="7"/>
        <v>0</v>
      </c>
    </row>
    <row r="74" spans="1:25" s="93" customFormat="1" ht="12">
      <c r="A74" s="23" t="s">
        <v>187</v>
      </c>
      <c r="B74" s="23"/>
      <c r="C74" s="24">
        <f t="shared" si="4"/>
        <v>25370395</v>
      </c>
      <c r="D74" s="24"/>
      <c r="E74" s="24">
        <f>738028+34745341</f>
        <v>35483369</v>
      </c>
      <c r="F74" s="24"/>
      <c r="G74" s="24">
        <v>0</v>
      </c>
      <c r="H74" s="24"/>
      <c r="I74" s="24">
        <v>60853764</v>
      </c>
      <c r="J74" s="24"/>
      <c r="K74" s="24">
        <f t="shared" si="5"/>
        <v>9010064</v>
      </c>
      <c r="L74" s="24"/>
      <c r="M74" s="24">
        <v>1370075</v>
      </c>
      <c r="N74" s="24"/>
      <c r="O74" s="24">
        <v>10380139</v>
      </c>
      <c r="P74" s="24"/>
      <c r="Q74" s="24">
        <v>35060164</v>
      </c>
      <c r="R74" s="24"/>
      <c r="S74" s="24">
        <f t="shared" si="6"/>
        <v>12659129</v>
      </c>
      <c r="T74" s="24"/>
      <c r="U74" s="24">
        <v>2754332</v>
      </c>
      <c r="V74" s="24"/>
      <c r="W74" s="24">
        <v>50473625</v>
      </c>
      <c r="X74" s="24"/>
      <c r="Y74" s="24">
        <f t="shared" si="7"/>
        <v>0</v>
      </c>
    </row>
    <row r="75" spans="1:25" s="93" customFormat="1" ht="12">
      <c r="A75" s="23" t="s">
        <v>66</v>
      </c>
      <c r="B75" s="23"/>
      <c r="C75" s="24">
        <f t="shared" si="4"/>
        <v>23768482</v>
      </c>
      <c r="D75" s="24"/>
      <c r="E75" s="24">
        <f>1143499+29488336</f>
        <v>30631835</v>
      </c>
      <c r="F75" s="24"/>
      <c r="G75" s="24">
        <v>0</v>
      </c>
      <c r="H75" s="24"/>
      <c r="I75" s="24">
        <v>54400317</v>
      </c>
      <c r="J75" s="24"/>
      <c r="K75" s="24">
        <f t="shared" si="5"/>
        <v>6282449</v>
      </c>
      <c r="L75" s="24"/>
      <c r="M75" s="24">
        <v>4500967</v>
      </c>
      <c r="N75" s="24"/>
      <c r="O75" s="24">
        <v>10783416</v>
      </c>
      <c r="P75" s="24"/>
      <c r="Q75" s="24">
        <v>25626797</v>
      </c>
      <c r="R75" s="24"/>
      <c r="S75" s="24">
        <f t="shared" si="6"/>
        <v>9958681</v>
      </c>
      <c r="T75" s="24"/>
      <c r="U75" s="24">
        <v>8031423</v>
      </c>
      <c r="V75" s="24"/>
      <c r="W75" s="24">
        <v>43616901</v>
      </c>
      <c r="X75" s="24"/>
      <c r="Y75" s="24">
        <f t="shared" si="7"/>
        <v>0</v>
      </c>
    </row>
    <row r="76" spans="1:25" s="93" customFormat="1" ht="12">
      <c r="A76" s="23" t="s">
        <v>67</v>
      </c>
      <c r="B76" s="23"/>
      <c r="C76" s="24">
        <f t="shared" si="4"/>
        <v>133145219</v>
      </c>
      <c r="D76" s="24"/>
      <c r="E76" s="24">
        <f>10801868+75827729</f>
        <v>86629597</v>
      </c>
      <c r="F76" s="24"/>
      <c r="G76" s="24">
        <v>0</v>
      </c>
      <c r="H76" s="24"/>
      <c r="I76" s="24">
        <v>219774816</v>
      </c>
      <c r="J76" s="24"/>
      <c r="K76" s="24">
        <f t="shared" si="5"/>
        <v>45730906</v>
      </c>
      <c r="L76" s="24"/>
      <c r="M76" s="24">
        <v>17770408</v>
      </c>
      <c r="N76" s="24"/>
      <c r="O76" s="24">
        <v>63501314</v>
      </c>
      <c r="P76" s="24"/>
      <c r="Q76" s="24">
        <v>67882682</v>
      </c>
      <c r="R76" s="24"/>
      <c r="S76" s="24">
        <f t="shared" si="6"/>
        <v>65505153</v>
      </c>
      <c r="T76" s="24"/>
      <c r="U76" s="24">
        <v>22885667</v>
      </c>
      <c r="V76" s="24"/>
      <c r="W76" s="24">
        <v>156273502</v>
      </c>
      <c r="X76" s="24"/>
      <c r="Y76" s="24">
        <f t="shared" si="7"/>
        <v>0</v>
      </c>
    </row>
    <row r="77" spans="1:25" s="93" customFormat="1" ht="12">
      <c r="A77" s="23" t="s">
        <v>68</v>
      </c>
      <c r="B77" s="23"/>
      <c r="C77" s="24">
        <f t="shared" si="4"/>
        <v>20105513</v>
      </c>
      <c r="D77" s="24"/>
      <c r="E77" s="24">
        <f>1989509+12882788</f>
        <v>14872297</v>
      </c>
      <c r="F77" s="24"/>
      <c r="G77" s="24">
        <v>2327</v>
      </c>
      <c r="H77" s="24"/>
      <c r="I77" s="24">
        <v>34980137</v>
      </c>
      <c r="J77" s="24"/>
      <c r="K77" s="24">
        <f t="shared" si="5"/>
        <v>6369306</v>
      </c>
      <c r="L77" s="24"/>
      <c r="M77" s="24">
        <v>2435281</v>
      </c>
      <c r="N77" s="24"/>
      <c r="O77" s="24">
        <v>8804587</v>
      </c>
      <c r="P77" s="24"/>
      <c r="Q77" s="24">
        <v>11950541</v>
      </c>
      <c r="R77" s="24"/>
      <c r="S77" s="24">
        <f t="shared" si="6"/>
        <v>11492913</v>
      </c>
      <c r="T77" s="24"/>
      <c r="U77" s="24">
        <v>2732096</v>
      </c>
      <c r="V77" s="24"/>
      <c r="W77" s="24">
        <v>26175550</v>
      </c>
      <c r="X77" s="24"/>
      <c r="Y77" s="24">
        <f t="shared" si="7"/>
        <v>0</v>
      </c>
    </row>
    <row r="78" spans="1:25" s="93" customFormat="1" ht="12" hidden="1">
      <c r="A78" s="23" t="s">
        <v>176</v>
      </c>
      <c r="B78" s="23"/>
      <c r="C78" s="24">
        <f t="shared" si="4"/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f t="shared" si="5"/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f t="shared" si="6"/>
        <v>0</v>
      </c>
      <c r="T78" s="24"/>
      <c r="U78" s="24">
        <v>0</v>
      </c>
      <c r="V78" s="24"/>
      <c r="W78" s="24">
        <v>0</v>
      </c>
      <c r="X78" s="24"/>
      <c r="Y78" s="24">
        <f t="shared" si="7"/>
        <v>0</v>
      </c>
    </row>
    <row r="79" s="93" customFormat="1" ht="12"/>
    <row r="80" s="93" customFormat="1" ht="12">
      <c r="W80" s="30" t="s">
        <v>253</v>
      </c>
    </row>
    <row r="81" spans="1:25" s="93" customFormat="1" ht="12">
      <c r="A81" s="23" t="s">
        <v>178</v>
      </c>
      <c r="B81" s="23"/>
      <c r="C81" s="44">
        <f>+I81-E81-G81</f>
        <v>104656093</v>
      </c>
      <c r="D81" s="44"/>
      <c r="E81" s="44">
        <f>23121107+84359208</f>
        <v>107480315</v>
      </c>
      <c r="F81" s="44"/>
      <c r="G81" s="44">
        <v>331698</v>
      </c>
      <c r="H81" s="44"/>
      <c r="I81" s="44">
        <v>212468106</v>
      </c>
      <c r="J81" s="44"/>
      <c r="K81" s="44">
        <f>+O81-M81</f>
        <v>50743064</v>
      </c>
      <c r="L81" s="44"/>
      <c r="M81" s="44">
        <v>28420156</v>
      </c>
      <c r="N81" s="44"/>
      <c r="O81" s="44">
        <v>79163220</v>
      </c>
      <c r="P81" s="44"/>
      <c r="Q81" s="44">
        <v>71869375</v>
      </c>
      <c r="R81" s="44"/>
      <c r="S81" s="44">
        <f>W81-U81-Q81</f>
        <v>54185667</v>
      </c>
      <c r="T81" s="44"/>
      <c r="U81" s="44">
        <v>7249844</v>
      </c>
      <c r="V81" s="44"/>
      <c r="W81" s="44">
        <v>133304886</v>
      </c>
      <c r="X81" s="24"/>
      <c r="Y81" s="24">
        <f>I81-O81-W81</f>
        <v>0</v>
      </c>
    </row>
    <row r="82" spans="1:25" s="93" customFormat="1" ht="12">
      <c r="A82" s="23" t="s">
        <v>69</v>
      </c>
      <c r="B82" s="23"/>
      <c r="C82" s="24">
        <f>+I82-E82-G82</f>
        <v>26501458</v>
      </c>
      <c r="D82" s="24"/>
      <c r="E82" s="24">
        <f>2744405+37463979</f>
        <v>40208384</v>
      </c>
      <c r="F82" s="24"/>
      <c r="G82" s="24">
        <v>82767</v>
      </c>
      <c r="H82" s="24"/>
      <c r="I82" s="24">
        <v>66792609</v>
      </c>
      <c r="J82" s="24"/>
      <c r="K82" s="24">
        <f>+O82-M82</f>
        <v>17096012</v>
      </c>
      <c r="L82" s="24"/>
      <c r="M82" s="24">
        <v>11645308</v>
      </c>
      <c r="N82" s="24"/>
      <c r="O82" s="24">
        <v>28741320</v>
      </c>
      <c r="P82" s="24"/>
      <c r="Q82" s="24">
        <v>28050320</v>
      </c>
      <c r="R82" s="24"/>
      <c r="S82" s="24">
        <f>W82-U82-Q82</f>
        <v>10104210</v>
      </c>
      <c r="T82" s="24"/>
      <c r="U82" s="24">
        <v>-103241</v>
      </c>
      <c r="V82" s="24"/>
      <c r="W82" s="24">
        <v>38051289</v>
      </c>
      <c r="X82" s="24"/>
      <c r="Y82" s="24">
        <f>I82-O82-W82</f>
        <v>0</v>
      </c>
    </row>
    <row r="83" spans="1:25" s="93" customFormat="1" ht="12">
      <c r="A83" s="23" t="s">
        <v>98</v>
      </c>
      <c r="B83" s="23"/>
      <c r="C83" s="44">
        <f t="shared" si="4"/>
        <v>44766833</v>
      </c>
      <c r="D83" s="44"/>
      <c r="E83" s="24">
        <f>1435554+42047173</f>
        <v>43482727</v>
      </c>
      <c r="F83" s="44"/>
      <c r="G83" s="24">
        <v>0</v>
      </c>
      <c r="H83" s="44"/>
      <c r="I83" s="24">
        <v>88249560</v>
      </c>
      <c r="J83" s="44"/>
      <c r="K83" s="44">
        <f t="shared" si="5"/>
        <v>12401905</v>
      </c>
      <c r="L83" s="44"/>
      <c r="M83" s="24">
        <v>6059406</v>
      </c>
      <c r="N83" s="44"/>
      <c r="O83" s="24">
        <v>18461311</v>
      </c>
      <c r="P83" s="44"/>
      <c r="Q83" s="24">
        <v>38292019</v>
      </c>
      <c r="R83" s="44"/>
      <c r="S83" s="44">
        <f t="shared" si="6"/>
        <v>23023502</v>
      </c>
      <c r="T83" s="44"/>
      <c r="U83" s="24">
        <v>8472728</v>
      </c>
      <c r="V83" s="44"/>
      <c r="W83" s="24">
        <v>69788249</v>
      </c>
      <c r="X83" s="24"/>
      <c r="Y83" s="24">
        <f t="shared" si="7"/>
        <v>0</v>
      </c>
    </row>
    <row r="84" spans="1:25" s="93" customFormat="1" ht="12">
      <c r="A84" s="23" t="s">
        <v>70</v>
      </c>
      <c r="B84" s="23"/>
      <c r="C84" s="24">
        <f t="shared" si="4"/>
        <v>28395524</v>
      </c>
      <c r="D84" s="24"/>
      <c r="E84" s="24">
        <f>1923034+75582578</f>
        <v>77505612</v>
      </c>
      <c r="F84" s="24"/>
      <c r="G84" s="24">
        <v>235177</v>
      </c>
      <c r="H84" s="24"/>
      <c r="I84" s="24">
        <v>106136313</v>
      </c>
      <c r="J84" s="24"/>
      <c r="K84" s="24">
        <f t="shared" si="5"/>
        <v>14555916</v>
      </c>
      <c r="L84" s="24"/>
      <c r="M84" s="24">
        <v>15698400</v>
      </c>
      <c r="N84" s="24"/>
      <c r="O84" s="24">
        <v>30254316</v>
      </c>
      <c r="P84" s="24"/>
      <c r="Q84" s="24">
        <v>63911470</v>
      </c>
      <c r="R84" s="24"/>
      <c r="S84" s="24">
        <f t="shared" si="6"/>
        <v>15333341</v>
      </c>
      <c r="T84" s="24"/>
      <c r="U84" s="24">
        <v>-3362814</v>
      </c>
      <c r="V84" s="24"/>
      <c r="W84" s="24">
        <v>75881997</v>
      </c>
      <c r="X84" s="24"/>
      <c r="Y84" s="24">
        <f t="shared" si="7"/>
        <v>0</v>
      </c>
    </row>
    <row r="85" spans="1:25" s="93" customFormat="1" ht="12">
      <c r="A85" s="23" t="s">
        <v>71</v>
      </c>
      <c r="B85" s="23"/>
      <c r="C85" s="24">
        <f t="shared" si="4"/>
        <v>36718534</v>
      </c>
      <c r="D85" s="24"/>
      <c r="E85" s="24">
        <f>19510634+43660953</f>
        <v>63171587</v>
      </c>
      <c r="F85" s="24"/>
      <c r="G85" s="24">
        <v>0</v>
      </c>
      <c r="H85" s="24"/>
      <c r="I85" s="24">
        <v>99890121</v>
      </c>
      <c r="J85" s="24"/>
      <c r="K85" s="24">
        <f t="shared" si="5"/>
        <v>10968444</v>
      </c>
      <c r="L85" s="24"/>
      <c r="M85" s="24">
        <v>6481581</v>
      </c>
      <c r="N85" s="24"/>
      <c r="O85" s="24">
        <v>17450025</v>
      </c>
      <c r="P85" s="24"/>
      <c r="Q85" s="24">
        <v>57070587</v>
      </c>
      <c r="R85" s="24"/>
      <c r="S85" s="24">
        <f t="shared" si="6"/>
        <v>17152956</v>
      </c>
      <c r="T85" s="24"/>
      <c r="U85" s="24">
        <v>8216553</v>
      </c>
      <c r="V85" s="24"/>
      <c r="W85" s="24">
        <v>82440096</v>
      </c>
      <c r="X85" s="24"/>
      <c r="Y85" s="24">
        <f t="shared" si="7"/>
        <v>0</v>
      </c>
    </row>
    <row r="86" spans="1:25" s="93" customFormat="1" ht="12">
      <c r="A86" s="23" t="s">
        <v>72</v>
      </c>
      <c r="B86" s="23"/>
      <c r="C86" s="24">
        <f t="shared" si="4"/>
        <v>31023396</v>
      </c>
      <c r="D86" s="24"/>
      <c r="E86" s="24">
        <f>67912534+10849441</f>
        <v>78761975</v>
      </c>
      <c r="F86" s="24"/>
      <c r="G86" s="24">
        <v>6758</v>
      </c>
      <c r="H86" s="24"/>
      <c r="I86" s="24">
        <v>109792129</v>
      </c>
      <c r="J86" s="24"/>
      <c r="K86" s="24">
        <f t="shared" si="5"/>
        <v>8560362</v>
      </c>
      <c r="L86" s="24"/>
      <c r="M86" s="24">
        <v>2137411</v>
      </c>
      <c r="N86" s="24"/>
      <c r="O86" s="24">
        <v>10697773</v>
      </c>
      <c r="P86" s="24"/>
      <c r="Q86" s="24">
        <v>77992305</v>
      </c>
      <c r="R86" s="24"/>
      <c r="S86" s="24">
        <f t="shared" si="6"/>
        <v>19120672</v>
      </c>
      <c r="T86" s="24"/>
      <c r="U86" s="24">
        <v>1981379</v>
      </c>
      <c r="V86" s="24"/>
      <c r="W86" s="24">
        <v>99094356</v>
      </c>
      <c r="X86" s="24"/>
      <c r="Y86" s="24">
        <f t="shared" si="7"/>
        <v>0</v>
      </c>
    </row>
    <row r="87" spans="1:25" s="93" customFormat="1" ht="12">
      <c r="A87" s="23" t="s">
        <v>73</v>
      </c>
      <c r="B87" s="23"/>
      <c r="C87" s="24">
        <f t="shared" si="4"/>
        <v>209354821</v>
      </c>
      <c r="D87" s="24"/>
      <c r="E87" s="24">
        <f>25017614+128162717</f>
        <v>153180331</v>
      </c>
      <c r="F87" s="24"/>
      <c r="G87" s="24">
        <v>0</v>
      </c>
      <c r="H87" s="24"/>
      <c r="I87" s="24">
        <v>362535152</v>
      </c>
      <c r="J87" s="24"/>
      <c r="K87" s="24">
        <f t="shared" si="5"/>
        <v>72540435</v>
      </c>
      <c r="L87" s="24"/>
      <c r="M87" s="24">
        <v>11858558</v>
      </c>
      <c r="N87" s="24"/>
      <c r="O87" s="24">
        <v>84398993</v>
      </c>
      <c r="P87" s="24"/>
      <c r="Q87" s="24">
        <v>149410966</v>
      </c>
      <c r="R87" s="24"/>
      <c r="S87" s="24">
        <f t="shared" si="6"/>
        <v>107471438</v>
      </c>
      <c r="T87" s="24"/>
      <c r="U87" s="24">
        <v>21253755</v>
      </c>
      <c r="V87" s="24"/>
      <c r="W87" s="24">
        <v>278136159</v>
      </c>
      <c r="X87" s="24"/>
      <c r="Y87" s="24">
        <f t="shared" si="7"/>
        <v>0</v>
      </c>
    </row>
    <row r="88" spans="1:25" s="93" customFormat="1" ht="12">
      <c r="A88" s="23" t="s">
        <v>74</v>
      </c>
      <c r="B88" s="23"/>
      <c r="C88" s="24">
        <f t="shared" si="4"/>
        <v>379902632</v>
      </c>
      <c r="D88" s="24"/>
      <c r="E88" s="24">
        <f>15329736+263101782</f>
        <v>278431518</v>
      </c>
      <c r="F88" s="24"/>
      <c r="G88" s="24">
        <v>528851</v>
      </c>
      <c r="H88" s="24"/>
      <c r="I88" s="24">
        <v>658863001</v>
      </c>
      <c r="J88" s="24"/>
      <c r="K88" s="24">
        <f t="shared" si="5"/>
        <v>163936734</v>
      </c>
      <c r="L88" s="24"/>
      <c r="M88" s="24">
        <v>90132128</v>
      </c>
      <c r="N88" s="24"/>
      <c r="O88" s="24">
        <v>254068862</v>
      </c>
      <c r="P88" s="24"/>
      <c r="Q88" s="24">
        <v>213757628</v>
      </c>
      <c r="R88" s="24"/>
      <c r="S88" s="24">
        <f t="shared" si="6"/>
        <v>81894711</v>
      </c>
      <c r="T88" s="24"/>
      <c r="U88" s="24">
        <v>109141800</v>
      </c>
      <c r="V88" s="24"/>
      <c r="W88" s="24">
        <v>404794139</v>
      </c>
      <c r="X88" s="24"/>
      <c r="Y88" s="24">
        <f t="shared" si="7"/>
        <v>0</v>
      </c>
    </row>
    <row r="89" spans="1:25" s="93" customFormat="1" ht="12">
      <c r="A89" s="23" t="s">
        <v>75</v>
      </c>
      <c r="B89" s="23"/>
      <c r="C89" s="24">
        <f t="shared" si="4"/>
        <v>147660625</v>
      </c>
      <c r="D89" s="24"/>
      <c r="E89" s="24">
        <f>14286171+69210615</f>
        <v>83496786</v>
      </c>
      <c r="F89" s="24"/>
      <c r="G89" s="24">
        <v>236252</v>
      </c>
      <c r="H89" s="24"/>
      <c r="I89" s="24">
        <v>231393663</v>
      </c>
      <c r="J89" s="24"/>
      <c r="K89" s="24">
        <f t="shared" si="5"/>
        <v>55786244</v>
      </c>
      <c r="L89" s="24"/>
      <c r="M89" s="24">
        <v>36889394</v>
      </c>
      <c r="N89" s="24"/>
      <c r="O89" s="24">
        <v>92675638</v>
      </c>
      <c r="P89" s="24"/>
      <c r="Q89" s="24">
        <v>64328995</v>
      </c>
      <c r="R89" s="24"/>
      <c r="S89" s="24">
        <f t="shared" si="6"/>
        <v>59570253</v>
      </c>
      <c r="T89" s="24"/>
      <c r="U89" s="24">
        <v>14818777</v>
      </c>
      <c r="V89" s="24"/>
      <c r="W89" s="24">
        <v>138718025</v>
      </c>
      <c r="X89" s="24"/>
      <c r="Y89" s="24">
        <f t="shared" si="7"/>
        <v>0</v>
      </c>
    </row>
    <row r="90" spans="1:25" s="93" customFormat="1" ht="12">
      <c r="A90" s="23" t="s">
        <v>76</v>
      </c>
      <c r="B90" s="23"/>
      <c r="C90" s="24">
        <f t="shared" si="4"/>
        <v>64391881</v>
      </c>
      <c r="D90" s="24"/>
      <c r="E90" s="24">
        <f>1296122+91235435</f>
        <v>92531557</v>
      </c>
      <c r="F90" s="24"/>
      <c r="G90" s="24">
        <v>0</v>
      </c>
      <c r="H90" s="24"/>
      <c r="I90" s="24">
        <v>156923438</v>
      </c>
      <c r="J90" s="24"/>
      <c r="K90" s="24">
        <f t="shared" si="5"/>
        <v>12747837</v>
      </c>
      <c r="L90" s="24"/>
      <c r="M90" s="24">
        <v>1948559</v>
      </c>
      <c r="N90" s="24"/>
      <c r="O90" s="24">
        <v>14696396</v>
      </c>
      <c r="P90" s="24"/>
      <c r="Q90" s="24">
        <v>91582057</v>
      </c>
      <c r="R90" s="24"/>
      <c r="S90" s="24">
        <f t="shared" si="6"/>
        <v>35367060</v>
      </c>
      <c r="T90" s="24"/>
      <c r="U90" s="24">
        <v>15277925</v>
      </c>
      <c r="V90" s="24"/>
      <c r="W90" s="24">
        <v>142227042</v>
      </c>
      <c r="X90" s="24"/>
      <c r="Y90" s="24">
        <f t="shared" si="7"/>
        <v>0</v>
      </c>
    </row>
    <row r="91" spans="1:25" s="93" customFormat="1" ht="12">
      <c r="A91" s="23" t="s">
        <v>77</v>
      </c>
      <c r="B91" s="23"/>
      <c r="C91" s="24">
        <f t="shared" si="4"/>
        <v>46799018</v>
      </c>
      <c r="D91" s="24"/>
      <c r="E91" s="24">
        <f>47516057+17928436</f>
        <v>65444493</v>
      </c>
      <c r="F91" s="24"/>
      <c r="G91" s="24">
        <v>0</v>
      </c>
      <c r="H91" s="24"/>
      <c r="I91" s="24">
        <v>112243511</v>
      </c>
      <c r="J91" s="24"/>
      <c r="K91" s="24">
        <f t="shared" si="5"/>
        <v>18094648</v>
      </c>
      <c r="L91" s="24"/>
      <c r="M91" s="24">
        <v>6910345</v>
      </c>
      <c r="N91" s="24"/>
      <c r="O91" s="24">
        <v>25004993</v>
      </c>
      <c r="P91" s="24"/>
      <c r="Q91" s="24">
        <v>57915110</v>
      </c>
      <c r="R91" s="24"/>
      <c r="S91" s="24">
        <f t="shared" si="6"/>
        <v>29323408</v>
      </c>
      <c r="T91" s="24"/>
      <c r="U91" s="24">
        <v>0</v>
      </c>
      <c r="V91" s="24"/>
      <c r="W91" s="24">
        <v>87238518</v>
      </c>
      <c r="X91" s="24"/>
      <c r="Y91" s="24">
        <f t="shared" si="7"/>
        <v>0</v>
      </c>
    </row>
    <row r="92" spans="1:25" s="93" customFormat="1" ht="12">
      <c r="A92" s="23" t="s">
        <v>78</v>
      </c>
      <c r="B92" s="23"/>
      <c r="C92" s="24">
        <f t="shared" si="4"/>
        <v>17023102</v>
      </c>
      <c r="D92" s="24"/>
      <c r="E92" s="24">
        <f>269099+24518091</f>
        <v>24787190</v>
      </c>
      <c r="F92" s="24"/>
      <c r="G92" s="24">
        <v>0</v>
      </c>
      <c r="H92" s="24"/>
      <c r="I92" s="24">
        <v>41810292</v>
      </c>
      <c r="J92" s="24"/>
      <c r="K92" s="24">
        <f t="shared" si="5"/>
        <v>8639030</v>
      </c>
      <c r="L92" s="24"/>
      <c r="M92" s="24">
        <v>2678694</v>
      </c>
      <c r="N92" s="24"/>
      <c r="O92" s="24">
        <v>11317724</v>
      </c>
      <c r="P92" s="24"/>
      <c r="Q92" s="24">
        <v>22637799</v>
      </c>
      <c r="R92" s="24"/>
      <c r="S92" s="24">
        <f t="shared" si="6"/>
        <v>10260001</v>
      </c>
      <c r="T92" s="24"/>
      <c r="U92" s="24">
        <v>-2405232</v>
      </c>
      <c r="V92" s="24"/>
      <c r="W92" s="24">
        <v>30492568</v>
      </c>
      <c r="X92" s="24"/>
      <c r="Y92" s="24">
        <f t="shared" si="7"/>
        <v>0</v>
      </c>
    </row>
    <row r="93" spans="1:25" s="93" customFormat="1" ht="12" hidden="1">
      <c r="A93" s="23" t="s">
        <v>79</v>
      </c>
      <c r="B93" s="23"/>
      <c r="C93" s="24">
        <f t="shared" si="4"/>
        <v>0</v>
      </c>
      <c r="D93" s="24"/>
      <c r="E93" s="24">
        <v>0</v>
      </c>
      <c r="F93" s="24"/>
      <c r="G93" s="24">
        <v>0</v>
      </c>
      <c r="H93" s="24"/>
      <c r="I93" s="24">
        <v>0</v>
      </c>
      <c r="J93" s="24"/>
      <c r="K93" s="24">
        <f t="shared" si="5"/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f t="shared" si="6"/>
        <v>0</v>
      </c>
      <c r="T93" s="24"/>
      <c r="U93" s="24">
        <v>0</v>
      </c>
      <c r="V93" s="24"/>
      <c r="W93" s="24">
        <v>0</v>
      </c>
      <c r="X93" s="24"/>
      <c r="Y93" s="24">
        <f t="shared" si="7"/>
        <v>0</v>
      </c>
    </row>
    <row r="94" spans="1:25" s="93" customFormat="1" ht="12">
      <c r="A94" s="23" t="s">
        <v>80</v>
      </c>
      <c r="B94" s="23"/>
      <c r="C94" s="24">
        <f aca="true" t="shared" si="8" ref="C94:C99">+I94-E94-G94</f>
        <v>189939466</v>
      </c>
      <c r="D94" s="24"/>
      <c r="E94" s="24">
        <f>14911806+74854701</f>
        <v>89766507</v>
      </c>
      <c r="F94" s="24"/>
      <c r="G94" s="24">
        <v>0</v>
      </c>
      <c r="H94" s="24"/>
      <c r="I94" s="24">
        <v>279705973</v>
      </c>
      <c r="J94" s="24"/>
      <c r="K94" s="24">
        <f aca="true" t="shared" si="9" ref="K94:K99">+O94-M94</f>
        <v>53578273</v>
      </c>
      <c r="L94" s="24"/>
      <c r="M94" s="24">
        <v>28491347</v>
      </c>
      <c r="N94" s="24"/>
      <c r="O94" s="24">
        <v>82069620</v>
      </c>
      <c r="P94" s="24"/>
      <c r="Q94" s="24">
        <v>78317156</v>
      </c>
      <c r="R94" s="24"/>
      <c r="S94" s="24">
        <f aca="true" t="shared" si="10" ref="S94:S99">W94-U94-Q94</f>
        <v>110599082</v>
      </c>
      <c r="T94" s="24"/>
      <c r="U94" s="24">
        <v>8720115</v>
      </c>
      <c r="V94" s="24"/>
      <c r="W94" s="24">
        <v>197636353</v>
      </c>
      <c r="X94" s="24"/>
      <c r="Y94" s="24">
        <f aca="true" t="shared" si="11" ref="Y94:Y99">I94-O94-W94</f>
        <v>0</v>
      </c>
    </row>
    <row r="95" spans="1:25" s="93" customFormat="1" ht="12">
      <c r="A95" s="23" t="s">
        <v>81</v>
      </c>
      <c r="B95" s="23"/>
      <c r="C95" s="24">
        <f t="shared" si="8"/>
        <v>41539875</v>
      </c>
      <c r="D95" s="24"/>
      <c r="E95" s="24">
        <f>123560777+16885939</f>
        <v>140446716</v>
      </c>
      <c r="F95" s="24"/>
      <c r="G95" s="24">
        <v>100033</v>
      </c>
      <c r="H95" s="24"/>
      <c r="I95" s="24">
        <v>182086624</v>
      </c>
      <c r="J95" s="24"/>
      <c r="K95" s="24">
        <f t="shared" si="9"/>
        <v>13489923</v>
      </c>
      <c r="L95" s="24"/>
      <c r="M95" s="24">
        <v>6238708</v>
      </c>
      <c r="N95" s="24"/>
      <c r="O95" s="24">
        <v>19728631</v>
      </c>
      <c r="P95" s="24"/>
      <c r="Q95" s="24">
        <v>134014635</v>
      </c>
      <c r="R95" s="24"/>
      <c r="S95" s="24">
        <f t="shared" si="10"/>
        <v>28343358</v>
      </c>
      <c r="T95" s="24"/>
      <c r="U95" s="24">
        <v>0</v>
      </c>
      <c r="V95" s="24"/>
      <c r="W95" s="24">
        <v>162357993</v>
      </c>
      <c r="X95" s="24"/>
      <c r="Y95" s="24">
        <f t="shared" si="11"/>
        <v>0</v>
      </c>
    </row>
    <row r="96" spans="1:25" s="93" customFormat="1" ht="12">
      <c r="A96" s="23" t="s">
        <v>82</v>
      </c>
      <c r="B96" s="23"/>
      <c r="C96" s="24">
        <f t="shared" si="8"/>
        <v>62381981</v>
      </c>
      <c r="D96" s="24"/>
      <c r="E96" s="24">
        <f>5039236+87268253</f>
        <v>92307489</v>
      </c>
      <c r="F96" s="24"/>
      <c r="G96" s="24">
        <v>77946</v>
      </c>
      <c r="H96" s="24"/>
      <c r="I96" s="24">
        <v>154767416</v>
      </c>
      <c r="J96" s="24"/>
      <c r="K96" s="24">
        <f t="shared" si="9"/>
        <v>21758891</v>
      </c>
      <c r="L96" s="24"/>
      <c r="M96" s="24">
        <v>11920211</v>
      </c>
      <c r="N96" s="24"/>
      <c r="O96" s="24">
        <v>33679102</v>
      </c>
      <c r="P96" s="24"/>
      <c r="Q96" s="24">
        <v>82791432</v>
      </c>
      <c r="R96" s="24"/>
      <c r="S96" s="24">
        <f t="shared" si="10"/>
        <v>27697588</v>
      </c>
      <c r="T96" s="24"/>
      <c r="U96" s="24">
        <v>10599294</v>
      </c>
      <c r="V96" s="24"/>
      <c r="W96" s="24">
        <v>121088314</v>
      </c>
      <c r="X96" s="24"/>
      <c r="Y96" s="24">
        <f t="shared" si="11"/>
        <v>0</v>
      </c>
    </row>
    <row r="97" spans="1:25" s="93" customFormat="1" ht="12" hidden="1">
      <c r="A97" s="23" t="s">
        <v>174</v>
      </c>
      <c r="B97" s="23"/>
      <c r="C97" s="24">
        <f t="shared" si="8"/>
        <v>0</v>
      </c>
      <c r="D97" s="24"/>
      <c r="E97" s="24">
        <v>0</v>
      </c>
      <c r="F97" s="24"/>
      <c r="G97" s="24">
        <v>0</v>
      </c>
      <c r="H97" s="24"/>
      <c r="I97" s="24">
        <v>0</v>
      </c>
      <c r="J97" s="24"/>
      <c r="K97" s="24">
        <f t="shared" si="9"/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f t="shared" si="10"/>
        <v>0</v>
      </c>
      <c r="T97" s="24"/>
      <c r="U97" s="24">
        <v>0</v>
      </c>
      <c r="V97" s="24"/>
      <c r="W97" s="24">
        <v>0</v>
      </c>
      <c r="X97" s="24"/>
      <c r="Y97" s="24">
        <f t="shared" si="11"/>
        <v>0</v>
      </c>
    </row>
    <row r="98" spans="1:25" s="93" customFormat="1" ht="12">
      <c r="A98" s="23" t="s">
        <v>83</v>
      </c>
      <c r="B98" s="23"/>
      <c r="C98" s="24">
        <f t="shared" si="8"/>
        <v>128726152</v>
      </c>
      <c r="D98" s="24"/>
      <c r="E98" s="24">
        <f>3193522+75087119</f>
        <v>78280641</v>
      </c>
      <c r="F98" s="24"/>
      <c r="G98" s="24">
        <v>0</v>
      </c>
      <c r="H98" s="24"/>
      <c r="I98" s="24">
        <v>207006793</v>
      </c>
      <c r="J98" s="24"/>
      <c r="K98" s="24">
        <f t="shared" si="9"/>
        <v>37398700</v>
      </c>
      <c r="L98" s="24"/>
      <c r="M98" s="24">
        <v>9581735</v>
      </c>
      <c r="N98" s="24"/>
      <c r="O98" s="24">
        <v>46980435</v>
      </c>
      <c r="P98" s="24"/>
      <c r="Q98" s="24">
        <v>75692446</v>
      </c>
      <c r="R98" s="24"/>
      <c r="S98" s="24">
        <f t="shared" si="10"/>
        <v>58707196</v>
      </c>
      <c r="T98" s="24"/>
      <c r="U98" s="24">
        <v>25626716</v>
      </c>
      <c r="V98" s="24"/>
      <c r="W98" s="24">
        <v>160026358</v>
      </c>
      <c r="X98" s="24"/>
      <c r="Y98" s="24">
        <f t="shared" si="11"/>
        <v>0</v>
      </c>
    </row>
    <row r="99" spans="1:25" ht="12" hidden="1">
      <c r="A99" s="23" t="s">
        <v>175</v>
      </c>
      <c r="B99" s="23"/>
      <c r="C99" s="24">
        <f t="shared" si="8"/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f t="shared" si="9"/>
        <v>0</v>
      </c>
      <c r="M99" s="24">
        <v>0</v>
      </c>
      <c r="O99" s="24">
        <v>0</v>
      </c>
      <c r="Q99" s="24">
        <v>0</v>
      </c>
      <c r="S99" s="24">
        <f t="shared" si="10"/>
        <v>0</v>
      </c>
      <c r="U99" s="24">
        <v>0</v>
      </c>
      <c r="W99" s="24">
        <v>0</v>
      </c>
      <c r="X99" s="24"/>
      <c r="Y99" s="24">
        <f t="shared" si="11"/>
        <v>0</v>
      </c>
    </row>
    <row r="100" spans="1:25" ht="12">
      <c r="A100" s="23"/>
      <c r="B100" s="23"/>
      <c r="C100" s="24"/>
      <c r="D100" s="5"/>
      <c r="E100" s="5"/>
      <c r="F100" s="5"/>
      <c r="G100" s="5"/>
      <c r="H100" s="5"/>
      <c r="I100" s="5"/>
      <c r="J100" s="5"/>
      <c r="X100" s="24"/>
      <c r="Y100" s="33"/>
    </row>
    <row r="101" spans="1:25" ht="12">
      <c r="A101" s="23"/>
      <c r="B101" s="23"/>
      <c r="C101" s="24"/>
      <c r="D101" s="5"/>
      <c r="E101" s="5"/>
      <c r="F101" s="5"/>
      <c r="G101" s="5"/>
      <c r="H101" s="5"/>
      <c r="I101" s="5"/>
      <c r="J101" s="5"/>
      <c r="X101" s="24"/>
      <c r="Y101" s="33"/>
    </row>
    <row r="102" spans="1:25" ht="12">
      <c r="A102" s="33"/>
      <c r="B102" s="33"/>
      <c r="C102" s="24"/>
      <c r="D102" s="5"/>
      <c r="E102" s="5"/>
      <c r="F102" s="5"/>
      <c r="G102" s="5"/>
      <c r="H102" s="5"/>
      <c r="I102" s="5"/>
      <c r="J102" s="5"/>
      <c r="X102" s="24"/>
      <c r="Y102" s="33"/>
    </row>
    <row r="103" spans="1:25" ht="12">
      <c r="A103" s="33"/>
      <c r="B103" s="33"/>
      <c r="C103" s="24"/>
      <c r="D103" s="5"/>
      <c r="E103" s="5"/>
      <c r="F103" s="5"/>
      <c r="G103" s="5"/>
      <c r="H103" s="5"/>
      <c r="I103" s="5"/>
      <c r="J103" s="5"/>
      <c r="X103" s="24"/>
      <c r="Y103" s="33"/>
    </row>
    <row r="104" spans="1:25" ht="12">
      <c r="A104" s="33"/>
      <c r="B104" s="33"/>
      <c r="C104" s="24"/>
      <c r="D104" s="5"/>
      <c r="E104" s="5"/>
      <c r="F104" s="5"/>
      <c r="G104" s="5"/>
      <c r="H104" s="5"/>
      <c r="I104" s="5"/>
      <c r="J104" s="5"/>
      <c r="X104" s="24"/>
      <c r="Y104" s="33"/>
    </row>
    <row r="105" spans="1:25" ht="12">
      <c r="A105" s="33"/>
      <c r="B105" s="33"/>
      <c r="C105" s="24"/>
      <c r="D105" s="5"/>
      <c r="E105" s="5"/>
      <c r="F105" s="5"/>
      <c r="G105" s="5"/>
      <c r="H105" s="5"/>
      <c r="I105" s="5"/>
      <c r="J105" s="5"/>
      <c r="X105" s="24"/>
      <c r="Y105" s="33"/>
    </row>
    <row r="106" spans="1:25" ht="12">
      <c r="A106" s="33"/>
      <c r="B106" s="33"/>
      <c r="C106" s="24"/>
      <c r="D106" s="5"/>
      <c r="E106" s="5"/>
      <c r="F106" s="5"/>
      <c r="G106" s="5"/>
      <c r="H106" s="5"/>
      <c r="I106" s="5"/>
      <c r="J106" s="5"/>
      <c r="X106" s="24"/>
      <c r="Y106" s="33"/>
    </row>
    <row r="107" spans="1:25" ht="12">
      <c r="A107" s="33"/>
      <c r="B107" s="33"/>
      <c r="C107" s="24"/>
      <c r="D107" s="5"/>
      <c r="E107" s="5"/>
      <c r="F107" s="5"/>
      <c r="G107" s="5"/>
      <c r="H107" s="5"/>
      <c r="I107" s="5"/>
      <c r="J107" s="5"/>
      <c r="X107" s="24"/>
      <c r="Y107" s="33"/>
    </row>
    <row r="108" spans="1:25" ht="12">
      <c r="A108" s="33"/>
      <c r="B108" s="33"/>
      <c r="C108" s="24"/>
      <c r="D108" s="5"/>
      <c r="E108" s="5"/>
      <c r="F108" s="5"/>
      <c r="G108" s="5"/>
      <c r="H108" s="5"/>
      <c r="I108" s="5"/>
      <c r="J108" s="5"/>
      <c r="X108" s="24"/>
      <c r="Y108" s="33"/>
    </row>
    <row r="109" spans="1:25" ht="12">
      <c r="A109" s="33"/>
      <c r="B109" s="33"/>
      <c r="C109" s="24"/>
      <c r="D109" s="5"/>
      <c r="E109" s="5"/>
      <c r="F109" s="5"/>
      <c r="G109" s="5"/>
      <c r="H109" s="5"/>
      <c r="I109" s="5"/>
      <c r="J109" s="5"/>
      <c r="X109" s="24"/>
      <c r="Y109" s="33"/>
    </row>
    <row r="110" spans="1:25" ht="12">
      <c r="A110" s="33"/>
      <c r="B110" s="33"/>
      <c r="C110" s="24"/>
      <c r="D110" s="5"/>
      <c r="E110" s="5"/>
      <c r="F110" s="5"/>
      <c r="G110" s="5"/>
      <c r="H110" s="5"/>
      <c r="I110" s="5"/>
      <c r="J110" s="5"/>
      <c r="X110" s="24"/>
      <c r="Y110" s="33"/>
    </row>
    <row r="111" spans="1:25" ht="12">
      <c r="A111" s="33"/>
      <c r="B111" s="33"/>
      <c r="C111" s="24"/>
      <c r="D111" s="5"/>
      <c r="E111" s="5"/>
      <c r="F111" s="5"/>
      <c r="G111" s="5"/>
      <c r="H111" s="5"/>
      <c r="I111" s="5"/>
      <c r="J111" s="5"/>
      <c r="X111" s="24"/>
      <c r="Y111" s="33"/>
    </row>
    <row r="112" spans="1:25" ht="12">
      <c r="A112" s="33"/>
      <c r="B112" s="33"/>
      <c r="C112" s="24"/>
      <c r="D112" s="5"/>
      <c r="E112" s="5"/>
      <c r="F112" s="5"/>
      <c r="G112" s="5"/>
      <c r="H112" s="5"/>
      <c r="I112" s="5"/>
      <c r="J112" s="5"/>
      <c r="X112" s="24"/>
      <c r="Y112" s="33"/>
    </row>
    <row r="113" spans="1:25" ht="12">
      <c r="A113" s="33"/>
      <c r="B113" s="33"/>
      <c r="C113" s="24"/>
      <c r="D113" s="5"/>
      <c r="E113" s="5"/>
      <c r="F113" s="5"/>
      <c r="G113" s="5"/>
      <c r="H113" s="5"/>
      <c r="I113" s="5"/>
      <c r="J113" s="5"/>
      <c r="X113" s="24"/>
      <c r="Y113" s="33"/>
    </row>
    <row r="114" spans="1:25" ht="12">
      <c r="A114" s="33"/>
      <c r="B114" s="33"/>
      <c r="C114" s="24"/>
      <c r="D114" s="5"/>
      <c r="E114" s="5"/>
      <c r="F114" s="5"/>
      <c r="G114" s="5"/>
      <c r="H114" s="5"/>
      <c r="I114" s="5"/>
      <c r="J114" s="5"/>
      <c r="X114" s="24"/>
      <c r="Y114" s="33"/>
    </row>
    <row r="115" spans="1:25" ht="12">
      <c r="A115" s="33"/>
      <c r="B115" s="33"/>
      <c r="C115" s="24"/>
      <c r="D115" s="5"/>
      <c r="E115" s="5"/>
      <c r="F115" s="5"/>
      <c r="G115" s="5"/>
      <c r="H115" s="5"/>
      <c r="I115" s="5"/>
      <c r="J115" s="5"/>
      <c r="X115" s="24"/>
      <c r="Y115" s="33"/>
    </row>
  </sheetData>
  <sheetProtection/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80" max="22" man="1"/>
  </rowBreaks>
  <colBreaks count="1" manualBreakCount="1">
    <brk id="11" max="9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92D050"/>
  </sheetPr>
  <dimension ref="A1:IV11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2" sqref="X2"/>
    </sheetView>
  </sheetViews>
  <sheetFormatPr defaultColWidth="8.421875" defaultRowHeight="12.75"/>
  <cols>
    <col min="1" max="1" width="17.421875" style="99" customWidth="1"/>
    <col min="2" max="2" width="1.7109375" style="99" customWidth="1"/>
    <col min="3" max="3" width="11.7109375" style="99" customWidth="1"/>
    <col min="4" max="4" width="1.7109375" style="99" customWidth="1"/>
    <col min="5" max="5" width="11.7109375" style="99" customWidth="1"/>
    <col min="6" max="6" width="1.7109375" style="99" customWidth="1"/>
    <col min="7" max="7" width="11.7109375" style="99" customWidth="1"/>
    <col min="8" max="8" width="1.7109375" style="99" customWidth="1"/>
    <col min="9" max="9" width="11.7109375" style="99" customWidth="1"/>
    <col min="10" max="10" width="1.7109375" style="99" customWidth="1"/>
    <col min="11" max="11" width="11.7109375" style="99" customWidth="1"/>
    <col min="12" max="12" width="1.7109375" style="99" customWidth="1"/>
    <col min="13" max="13" width="11.7109375" style="99" customWidth="1"/>
    <col min="14" max="14" width="1.7109375" style="99" customWidth="1"/>
    <col min="15" max="15" width="11.7109375" style="99" customWidth="1"/>
    <col min="16" max="16" width="1.7109375" style="99" customWidth="1"/>
    <col min="17" max="17" width="11.7109375" style="99" customWidth="1"/>
    <col min="18" max="18" width="1.7109375" style="99" customWidth="1"/>
    <col min="19" max="19" width="11.7109375" style="99" customWidth="1"/>
    <col min="20" max="20" width="1.7109375" style="99" customWidth="1"/>
    <col min="21" max="21" width="11.7109375" style="99" customWidth="1"/>
    <col min="22" max="22" width="11.7109375" style="99" hidden="1" customWidth="1"/>
    <col min="23" max="23" width="1.7109375" style="99" hidden="1" customWidth="1"/>
    <col min="24" max="24" width="11.7109375" style="99" customWidth="1"/>
    <col min="25" max="25" width="1.7109375" style="99" customWidth="1"/>
    <col min="26" max="26" width="11.7109375" style="99" customWidth="1"/>
    <col min="27" max="27" width="1.7109375" style="99" customWidth="1"/>
    <col min="28" max="28" width="11.7109375" style="85" customWidth="1"/>
    <col min="29" max="29" width="1.7109375" style="85" customWidth="1"/>
    <col min="30" max="30" width="11.7109375" style="85" customWidth="1"/>
    <col min="31" max="31" width="1.7109375" style="85" customWidth="1"/>
    <col min="32" max="32" width="11.7109375" style="85" customWidth="1"/>
    <col min="33" max="33" width="1.7109375" style="85" customWidth="1"/>
    <col min="34" max="34" width="11.7109375" style="85" customWidth="1"/>
    <col min="35" max="35" width="1.7109375" style="85" customWidth="1"/>
    <col min="36" max="36" width="11.7109375" style="85" customWidth="1"/>
    <col min="37" max="37" width="1.7109375" style="85" customWidth="1"/>
    <col min="38" max="38" width="11.7109375" style="85" customWidth="1"/>
    <col min="39" max="39" width="1.7109375" style="85" customWidth="1"/>
    <col min="40" max="40" width="11.7109375" style="79" customWidth="1"/>
    <col min="41" max="41" width="1.7109375" style="79" customWidth="1"/>
    <col min="42" max="42" width="11.7109375" style="79" customWidth="1"/>
    <col min="43" max="43" width="1.7109375" style="79" customWidth="1"/>
    <col min="44" max="44" width="11.7109375" style="79" hidden="1" customWidth="1"/>
    <col min="45" max="45" width="1.7109375" style="79" hidden="1" customWidth="1"/>
    <col min="46" max="46" width="11.7109375" style="79" hidden="1" customWidth="1"/>
    <col min="47" max="47" width="1.7109375" style="79" hidden="1" customWidth="1"/>
    <col min="48" max="48" width="11.7109375" style="79" customWidth="1"/>
    <col min="49" max="49" width="2.421875" style="79" customWidth="1"/>
    <col min="50" max="50" width="14.140625" style="79" customWidth="1"/>
    <col min="51" max="51" width="1.7109375" style="79" customWidth="1"/>
    <col min="52" max="52" width="11.7109375" style="79" customWidth="1"/>
    <col min="53" max="53" width="1.7109375" style="79" customWidth="1"/>
    <col min="54" max="54" width="11.7109375" style="79" customWidth="1"/>
    <col min="55" max="55" width="1.7109375" style="79" customWidth="1"/>
    <col min="56" max="56" width="11.7109375" style="79" customWidth="1"/>
    <col min="57" max="57" width="1.7109375" style="79" customWidth="1"/>
    <col min="58" max="58" width="11.7109375" style="79" customWidth="1"/>
    <col min="59" max="59" width="1.7109375" style="79" hidden="1" customWidth="1"/>
    <col min="60" max="60" width="11.7109375" style="79" hidden="1" customWidth="1"/>
    <col min="61" max="61" width="1.7109375" style="79" customWidth="1"/>
    <col min="62" max="62" width="11.7109375" style="79" customWidth="1"/>
    <col min="63" max="63" width="13.57421875" style="79" customWidth="1"/>
    <col min="64" max="16384" width="8.421875" style="79" customWidth="1"/>
  </cols>
  <sheetData>
    <row r="1" spans="1:50" s="64" customFormat="1" ht="12.75">
      <c r="A1" s="63" t="s">
        <v>195</v>
      </c>
      <c r="B1" s="8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05" t="s">
        <v>195</v>
      </c>
      <c r="Y1" s="106"/>
      <c r="Z1" s="106"/>
      <c r="AA1" s="59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X1" s="107" t="s">
        <v>195</v>
      </c>
    </row>
    <row r="2" spans="1:50" s="64" customFormat="1" ht="12.75">
      <c r="A2" s="63" t="s">
        <v>137</v>
      </c>
      <c r="B2" s="8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3" t="s">
        <v>254</v>
      </c>
      <c r="Y2" s="106"/>
      <c r="Z2" s="106"/>
      <c r="AA2" s="59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X2" s="107" t="s">
        <v>102</v>
      </c>
    </row>
    <row r="3" spans="1:50" s="64" customFormat="1" ht="12.75">
      <c r="A3" s="63" t="s">
        <v>250</v>
      </c>
      <c r="B3" s="8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7" t="s">
        <v>249</v>
      </c>
      <c r="Y3" s="106"/>
      <c r="Z3" s="106"/>
      <c r="AA3" s="59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X3" s="63" t="s">
        <v>247</v>
      </c>
    </row>
    <row r="4" spans="1:50" s="36" customFormat="1" ht="12">
      <c r="A4" s="89"/>
      <c r="B4" s="89"/>
      <c r="C4" s="89"/>
      <c r="D4" s="89"/>
      <c r="E4" s="89"/>
      <c r="F4" s="89"/>
      <c r="G4" s="89"/>
      <c r="H4" s="8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89"/>
      <c r="AA4" s="23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X4" s="90"/>
    </row>
    <row r="5" spans="1:50" s="36" customFormat="1" ht="12">
      <c r="A5" s="57" t="s">
        <v>184</v>
      </c>
      <c r="B5" s="89"/>
      <c r="C5" s="89"/>
      <c r="D5" s="89"/>
      <c r="E5" s="89"/>
      <c r="F5" s="89"/>
      <c r="G5" s="89"/>
      <c r="H5" s="89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57"/>
      <c r="AA5" s="23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X5" s="57" t="s">
        <v>184</v>
      </c>
    </row>
    <row r="6" spans="1:62" s="36" customFormat="1" ht="12">
      <c r="A6" s="19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138</v>
      </c>
      <c r="P6" s="50"/>
      <c r="Q6" s="50"/>
      <c r="R6" s="50"/>
      <c r="S6" s="50"/>
      <c r="T6" s="50"/>
      <c r="U6" s="50"/>
      <c r="V6" s="5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50" t="s">
        <v>102</v>
      </c>
      <c r="BA6" s="50"/>
      <c r="BB6" s="50"/>
      <c r="BC6" s="50"/>
      <c r="BD6" s="50"/>
      <c r="BE6" s="50"/>
      <c r="BF6" s="50"/>
      <c r="BG6" s="51"/>
      <c r="BH6" s="51"/>
      <c r="BI6" s="51"/>
      <c r="BJ6" s="17"/>
    </row>
    <row r="7" spans="1:62" s="36" customFormat="1" ht="12">
      <c r="A7" s="1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21"/>
      <c r="W7" s="108" t="s">
        <v>194</v>
      </c>
      <c r="X7" s="51"/>
      <c r="Y7" s="5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 t="s">
        <v>190</v>
      </c>
      <c r="AQ7" s="21"/>
      <c r="AR7" s="21" t="s">
        <v>155</v>
      </c>
      <c r="AS7" s="21"/>
      <c r="AT7" s="21" t="s">
        <v>155</v>
      </c>
      <c r="AU7" s="21"/>
      <c r="AV7" s="21"/>
      <c r="AW7" s="21"/>
      <c r="AX7" s="21"/>
      <c r="AY7" s="21"/>
      <c r="AZ7" s="21" t="s">
        <v>103</v>
      </c>
      <c r="BA7" s="21"/>
      <c r="BB7" s="21" t="s">
        <v>104</v>
      </c>
      <c r="BC7" s="21"/>
      <c r="BD7" s="21"/>
      <c r="BE7" s="21"/>
      <c r="BF7" s="21" t="s">
        <v>105</v>
      </c>
      <c r="BG7" s="21"/>
      <c r="BH7" s="21" t="s">
        <v>191</v>
      </c>
      <c r="BI7" s="21"/>
      <c r="BJ7" s="21" t="s">
        <v>4</v>
      </c>
    </row>
    <row r="8" spans="1:62" s="36" customFormat="1" ht="12">
      <c r="A8" s="19"/>
      <c r="B8" s="19"/>
      <c r="C8" s="21" t="s">
        <v>135</v>
      </c>
      <c r="D8" s="21"/>
      <c r="E8" s="21" t="s">
        <v>156</v>
      </c>
      <c r="F8" s="21"/>
      <c r="G8" s="21" t="s">
        <v>4</v>
      </c>
      <c r="H8" s="21"/>
      <c r="I8" s="21" t="s">
        <v>135</v>
      </c>
      <c r="J8" s="21"/>
      <c r="K8" s="21" t="s">
        <v>156</v>
      </c>
      <c r="L8" s="21"/>
      <c r="M8" s="21" t="s">
        <v>4</v>
      </c>
      <c r="N8" s="21"/>
      <c r="O8" s="21" t="s">
        <v>139</v>
      </c>
      <c r="P8" s="21"/>
      <c r="Q8" s="21"/>
      <c r="R8" s="21"/>
      <c r="S8" s="21"/>
      <c r="T8" s="21"/>
      <c r="U8" s="21" t="s">
        <v>232</v>
      </c>
      <c r="V8" s="21"/>
      <c r="W8" s="21"/>
      <c r="X8" s="21"/>
      <c r="Y8" s="21"/>
      <c r="Z8" s="21" t="s">
        <v>101</v>
      </c>
      <c r="AA8" s="21"/>
      <c r="AB8" s="21" t="s">
        <v>157</v>
      </c>
      <c r="AC8" s="21"/>
      <c r="AD8" s="21"/>
      <c r="AE8" s="21"/>
      <c r="AF8" s="21" t="s">
        <v>101</v>
      </c>
      <c r="AG8" s="21"/>
      <c r="AH8" s="21" t="s">
        <v>158</v>
      </c>
      <c r="AI8" s="21"/>
      <c r="AJ8" s="21" t="s">
        <v>101</v>
      </c>
      <c r="AK8" s="21"/>
      <c r="AL8" s="21" t="s">
        <v>101</v>
      </c>
      <c r="AM8" s="21"/>
      <c r="AN8" s="21" t="s">
        <v>87</v>
      </c>
      <c r="AO8" s="21"/>
      <c r="AP8" s="21" t="s">
        <v>231</v>
      </c>
      <c r="AQ8" s="21"/>
      <c r="AR8" s="21" t="s">
        <v>159</v>
      </c>
      <c r="AS8" s="21"/>
      <c r="AT8" s="21" t="s">
        <v>159</v>
      </c>
      <c r="AU8" s="21"/>
      <c r="AV8" s="21" t="s">
        <v>106</v>
      </c>
      <c r="AW8" s="21"/>
      <c r="AX8" s="21"/>
      <c r="AY8" s="21"/>
      <c r="AZ8" s="21" t="s">
        <v>107</v>
      </c>
      <c r="BA8" s="21"/>
      <c r="BB8" s="21" t="s">
        <v>12</v>
      </c>
      <c r="BC8" s="21"/>
      <c r="BD8" s="21"/>
      <c r="BE8" s="21"/>
      <c r="BF8" s="21" t="s">
        <v>108</v>
      </c>
      <c r="BG8" s="21"/>
      <c r="BH8" s="21" t="s">
        <v>192</v>
      </c>
      <c r="BI8" s="21"/>
      <c r="BJ8" s="21" t="s">
        <v>108</v>
      </c>
    </row>
    <row r="9" spans="1:62" s="36" customFormat="1" ht="12">
      <c r="A9" s="22" t="s">
        <v>5</v>
      </c>
      <c r="B9" s="19"/>
      <c r="C9" s="20" t="s">
        <v>116</v>
      </c>
      <c r="D9" s="21"/>
      <c r="E9" s="20" t="s">
        <v>116</v>
      </c>
      <c r="F9" s="21"/>
      <c r="G9" s="20" t="s">
        <v>116</v>
      </c>
      <c r="H9" s="21"/>
      <c r="I9" s="20" t="s">
        <v>122</v>
      </c>
      <c r="J9" s="21"/>
      <c r="K9" s="20" t="s">
        <v>122</v>
      </c>
      <c r="L9" s="21"/>
      <c r="M9" s="20" t="s">
        <v>122</v>
      </c>
      <c r="N9" s="21"/>
      <c r="O9" s="20" t="s">
        <v>141</v>
      </c>
      <c r="P9" s="21"/>
      <c r="Q9" s="20" t="s">
        <v>142</v>
      </c>
      <c r="R9" s="21"/>
      <c r="S9" s="20" t="s">
        <v>143</v>
      </c>
      <c r="T9" s="21"/>
      <c r="U9" s="20" t="s">
        <v>116</v>
      </c>
      <c r="V9" s="21"/>
      <c r="W9" s="21"/>
      <c r="X9" s="22" t="s">
        <v>5</v>
      </c>
      <c r="Y9" s="21"/>
      <c r="Z9" s="20" t="s">
        <v>12</v>
      </c>
      <c r="AA9" s="21"/>
      <c r="AB9" s="20" t="s">
        <v>109</v>
      </c>
      <c r="AC9" s="21"/>
      <c r="AD9" s="20" t="s">
        <v>109</v>
      </c>
      <c r="AE9" s="21"/>
      <c r="AF9" s="20" t="s">
        <v>110</v>
      </c>
      <c r="AG9" s="21"/>
      <c r="AH9" s="20" t="s">
        <v>160</v>
      </c>
      <c r="AI9" s="21"/>
      <c r="AJ9" s="20" t="s">
        <v>111</v>
      </c>
      <c r="AK9" s="21"/>
      <c r="AL9" s="20" t="s">
        <v>112</v>
      </c>
      <c r="AM9" s="21"/>
      <c r="AN9" s="20" t="s">
        <v>161</v>
      </c>
      <c r="AO9" s="21"/>
      <c r="AP9" s="20" t="s">
        <v>138</v>
      </c>
      <c r="AQ9" s="21"/>
      <c r="AR9" s="20" t="s">
        <v>162</v>
      </c>
      <c r="AS9" s="21"/>
      <c r="AT9" s="20" t="s">
        <v>163</v>
      </c>
      <c r="AU9" s="21"/>
      <c r="AV9" s="20" t="s">
        <v>87</v>
      </c>
      <c r="AW9" s="21"/>
      <c r="AX9" s="22" t="s">
        <v>5</v>
      </c>
      <c r="AY9" s="21"/>
      <c r="AZ9" s="20" t="s">
        <v>113</v>
      </c>
      <c r="BA9" s="21"/>
      <c r="BB9" s="20" t="s">
        <v>113</v>
      </c>
      <c r="BC9" s="21"/>
      <c r="BD9" s="20" t="s">
        <v>114</v>
      </c>
      <c r="BE9" s="21"/>
      <c r="BF9" s="20" t="s">
        <v>115</v>
      </c>
      <c r="BG9" s="21"/>
      <c r="BH9" s="20" t="s">
        <v>193</v>
      </c>
      <c r="BI9" s="21"/>
      <c r="BJ9" s="20" t="s">
        <v>122</v>
      </c>
    </row>
    <row r="10" spans="1:62" s="36" customFormat="1" ht="12">
      <c r="A10" s="19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19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36" customFormat="1" ht="12" hidden="1">
      <c r="A11" s="89" t="s">
        <v>237</v>
      </c>
      <c r="B11" s="19"/>
      <c r="C11" s="35">
        <f>+G11-E11</f>
        <v>0</v>
      </c>
      <c r="D11" s="35"/>
      <c r="E11" s="35">
        <v>0</v>
      </c>
      <c r="F11" s="35"/>
      <c r="G11" s="35">
        <v>0</v>
      </c>
      <c r="H11" s="35"/>
      <c r="I11" s="35">
        <f>+M11-K11</f>
        <v>0</v>
      </c>
      <c r="J11" s="35"/>
      <c r="K11" s="35">
        <f aca="true" t="shared" si="0" ref="K11:K43">SUM(BJ11)</f>
        <v>0</v>
      </c>
      <c r="L11" s="35"/>
      <c r="M11" s="35">
        <v>0</v>
      </c>
      <c r="N11" s="35"/>
      <c r="O11" s="35">
        <v>0</v>
      </c>
      <c r="P11" s="35"/>
      <c r="Q11" s="35">
        <v>0</v>
      </c>
      <c r="R11" s="35"/>
      <c r="S11" s="35">
        <v>0</v>
      </c>
      <c r="T11" s="35"/>
      <c r="U11" s="35">
        <f>SUM(O11:S11)</f>
        <v>0</v>
      </c>
      <c r="V11" s="35"/>
      <c r="W11" s="35"/>
      <c r="X11" s="23" t="s">
        <v>237</v>
      </c>
      <c r="Y11" s="35"/>
      <c r="Z11" s="35">
        <v>0</v>
      </c>
      <c r="AA11" s="35"/>
      <c r="AB11" s="35">
        <v>0</v>
      </c>
      <c r="AC11" s="35"/>
      <c r="AD11" s="35">
        <v>0</v>
      </c>
      <c r="AE11" s="35"/>
      <c r="AF11" s="35">
        <f>+Z11-AB11-AD11</f>
        <v>0</v>
      </c>
      <c r="AG11" s="35"/>
      <c r="AH11" s="35">
        <v>0</v>
      </c>
      <c r="AI11" s="35"/>
      <c r="AJ11" s="35">
        <v>0</v>
      </c>
      <c r="AK11" s="35"/>
      <c r="AL11" s="35">
        <v>0</v>
      </c>
      <c r="AM11" s="35"/>
      <c r="AN11" s="35">
        <v>0</v>
      </c>
      <c r="AO11" s="35"/>
      <c r="AP11" s="35">
        <f>+AN11+AJ11+AH11+AF11-AL11</f>
        <v>0</v>
      </c>
      <c r="AQ11" s="35"/>
      <c r="AR11" s="35"/>
      <c r="AS11" s="35"/>
      <c r="AT11" s="35"/>
      <c r="AU11" s="35"/>
      <c r="AV11" s="35">
        <f>C11-I11</f>
        <v>0</v>
      </c>
      <c r="AW11" s="35"/>
      <c r="AX11" s="23" t="s">
        <v>237</v>
      </c>
      <c r="AY11" s="35"/>
      <c r="AZ11" s="35">
        <v>0</v>
      </c>
      <c r="BA11" s="35"/>
      <c r="BB11" s="35">
        <v>0</v>
      </c>
      <c r="BC11" s="35"/>
      <c r="BD11" s="35">
        <v>0</v>
      </c>
      <c r="BE11" s="35"/>
      <c r="BF11" s="35">
        <v>0</v>
      </c>
      <c r="BG11" s="35"/>
      <c r="BH11" s="35"/>
      <c r="BI11" s="35"/>
      <c r="BJ11" s="17">
        <f>SUM(AZ11:BF11)+BH11</f>
        <v>0</v>
      </c>
    </row>
    <row r="12" spans="1:62" s="36" customFormat="1" ht="12" hidden="1">
      <c r="A12" s="23" t="s">
        <v>13</v>
      </c>
      <c r="B12" s="23"/>
      <c r="C12" s="74">
        <f>+G12-E12</f>
        <v>0</v>
      </c>
      <c r="D12" s="35"/>
      <c r="E12" s="74">
        <v>0</v>
      </c>
      <c r="F12" s="35"/>
      <c r="G12" s="74">
        <v>0</v>
      </c>
      <c r="H12" s="35"/>
      <c r="I12" s="74">
        <f>+M12-K12</f>
        <v>0</v>
      </c>
      <c r="J12" s="35"/>
      <c r="K12" s="74">
        <f t="shared" si="0"/>
        <v>0</v>
      </c>
      <c r="L12" s="35"/>
      <c r="M12" s="74">
        <v>0</v>
      </c>
      <c r="N12" s="35"/>
      <c r="O12" s="74">
        <v>0</v>
      </c>
      <c r="P12" s="35"/>
      <c r="Q12" s="74">
        <v>0</v>
      </c>
      <c r="R12" s="35"/>
      <c r="S12" s="74">
        <v>0</v>
      </c>
      <c r="T12" s="35"/>
      <c r="U12" s="74">
        <f>SUM(O12:S12)</f>
        <v>0</v>
      </c>
      <c r="V12" s="35"/>
      <c r="W12" s="35"/>
      <c r="X12" s="23" t="s">
        <v>13</v>
      </c>
      <c r="Y12" s="35"/>
      <c r="Z12" s="74">
        <v>0</v>
      </c>
      <c r="AA12" s="35"/>
      <c r="AB12" s="74">
        <v>0</v>
      </c>
      <c r="AC12" s="35"/>
      <c r="AD12" s="74">
        <v>0</v>
      </c>
      <c r="AE12" s="35"/>
      <c r="AF12" s="74">
        <f>+Z12-AB12-AD12</f>
        <v>0</v>
      </c>
      <c r="AG12" s="35"/>
      <c r="AH12" s="74">
        <v>0</v>
      </c>
      <c r="AI12" s="35"/>
      <c r="AJ12" s="74">
        <v>0</v>
      </c>
      <c r="AK12" s="35"/>
      <c r="AL12" s="74">
        <v>0</v>
      </c>
      <c r="AM12" s="35"/>
      <c r="AN12" s="74">
        <v>0</v>
      </c>
      <c r="AO12" s="35"/>
      <c r="AP12" s="74">
        <f>+AN12+AJ12+AH12+AF12-AL12</f>
        <v>0</v>
      </c>
      <c r="AQ12" s="35"/>
      <c r="AR12" s="35">
        <v>0</v>
      </c>
      <c r="AS12" s="35"/>
      <c r="AT12" s="35">
        <v>0</v>
      </c>
      <c r="AU12" s="35"/>
      <c r="AV12" s="74">
        <f>C12-I12</f>
        <v>0</v>
      </c>
      <c r="AW12" s="35"/>
      <c r="AX12" s="23" t="s">
        <v>13</v>
      </c>
      <c r="AY12" s="35"/>
      <c r="AZ12" s="74">
        <v>0</v>
      </c>
      <c r="BA12" s="35"/>
      <c r="BB12" s="74">
        <v>0</v>
      </c>
      <c r="BC12" s="35"/>
      <c r="BD12" s="74">
        <v>0</v>
      </c>
      <c r="BE12" s="35"/>
      <c r="BF12" s="74">
        <v>0</v>
      </c>
      <c r="BG12" s="35"/>
      <c r="BH12" s="35"/>
      <c r="BI12" s="35"/>
      <c r="BJ12" s="48">
        <f>SUM(AZ12:BF12)+BH12</f>
        <v>0</v>
      </c>
    </row>
    <row r="13" spans="1:62" s="36" customFormat="1" ht="12" hidden="1">
      <c r="A13" s="23" t="s">
        <v>14</v>
      </c>
      <c r="B13" s="23"/>
      <c r="C13" s="35">
        <f aca="true" t="shared" si="1" ref="C13:C76">+G13-E13</f>
        <v>0</v>
      </c>
      <c r="D13" s="35"/>
      <c r="E13" s="35">
        <v>0</v>
      </c>
      <c r="F13" s="35"/>
      <c r="G13" s="35">
        <v>0</v>
      </c>
      <c r="H13" s="35"/>
      <c r="I13" s="35">
        <f>+M13-K13</f>
        <v>0</v>
      </c>
      <c r="J13" s="35"/>
      <c r="K13" s="35">
        <f t="shared" si="0"/>
        <v>0</v>
      </c>
      <c r="L13" s="35"/>
      <c r="M13" s="35">
        <v>0</v>
      </c>
      <c r="N13" s="35"/>
      <c r="O13" s="35">
        <v>0</v>
      </c>
      <c r="P13" s="35"/>
      <c r="Q13" s="35">
        <v>0</v>
      </c>
      <c r="R13" s="35"/>
      <c r="S13" s="35">
        <v>0</v>
      </c>
      <c r="T13" s="35"/>
      <c r="U13" s="35">
        <f aca="true" t="shared" si="2" ref="U13:U76">SUM(O13:S13)</f>
        <v>0</v>
      </c>
      <c r="V13" s="35"/>
      <c r="W13" s="35"/>
      <c r="X13" s="23" t="s">
        <v>14</v>
      </c>
      <c r="Y13" s="35"/>
      <c r="Z13" s="35">
        <v>0</v>
      </c>
      <c r="AA13" s="35"/>
      <c r="AB13" s="35">
        <v>0</v>
      </c>
      <c r="AC13" s="35"/>
      <c r="AD13" s="35">
        <v>0</v>
      </c>
      <c r="AE13" s="35"/>
      <c r="AF13" s="35">
        <f aca="true" t="shared" si="3" ref="AF13:AF76">+Z13-AB13-AD13</f>
        <v>0</v>
      </c>
      <c r="AG13" s="35"/>
      <c r="AH13" s="35">
        <v>0</v>
      </c>
      <c r="AI13" s="35"/>
      <c r="AJ13" s="35">
        <v>0</v>
      </c>
      <c r="AK13" s="35"/>
      <c r="AL13" s="35">
        <v>0</v>
      </c>
      <c r="AM13" s="35"/>
      <c r="AN13" s="35">
        <v>0</v>
      </c>
      <c r="AO13" s="35"/>
      <c r="AP13" s="35">
        <f aca="true" t="shared" si="4" ref="AP13:AP76">+AN13+AJ13+AH13+AF13-AL13</f>
        <v>0</v>
      </c>
      <c r="AQ13" s="35"/>
      <c r="AR13" s="35">
        <v>0</v>
      </c>
      <c r="AS13" s="35"/>
      <c r="AT13" s="35">
        <v>0</v>
      </c>
      <c r="AU13" s="35"/>
      <c r="AV13" s="35">
        <f aca="true" t="shared" si="5" ref="AV13:AV76">C13-I13</f>
        <v>0</v>
      </c>
      <c r="AW13" s="35"/>
      <c r="AX13" s="23" t="s">
        <v>14</v>
      </c>
      <c r="AY13" s="35"/>
      <c r="AZ13" s="35">
        <v>0</v>
      </c>
      <c r="BA13" s="35"/>
      <c r="BB13" s="35">
        <v>0</v>
      </c>
      <c r="BC13" s="35"/>
      <c r="BD13" s="35">
        <v>0</v>
      </c>
      <c r="BE13" s="35"/>
      <c r="BF13" s="35">
        <v>0</v>
      </c>
      <c r="BG13" s="35"/>
      <c r="BH13" s="35"/>
      <c r="BI13" s="35"/>
      <c r="BJ13" s="17">
        <f aca="true" t="shared" si="6" ref="BJ13:BJ76">SUM(AZ13:BF13)+BH13</f>
        <v>0</v>
      </c>
    </row>
    <row r="14" spans="1:62" s="36" customFormat="1" ht="12">
      <c r="A14" s="23" t="s">
        <v>15</v>
      </c>
      <c r="B14" s="23"/>
      <c r="C14" s="74">
        <f t="shared" si="1"/>
        <v>2112205</v>
      </c>
      <c r="D14" s="74"/>
      <c r="E14" s="74">
        <v>21203396</v>
      </c>
      <c r="F14" s="74"/>
      <c r="G14" s="74">
        <v>23315601</v>
      </c>
      <c r="H14" s="74"/>
      <c r="I14" s="74">
        <f>+M14-K14</f>
        <v>776432</v>
      </c>
      <c r="J14" s="74"/>
      <c r="K14" s="74">
        <f t="shared" si="0"/>
        <v>19618198</v>
      </c>
      <c r="L14" s="74"/>
      <c r="M14" s="74">
        <v>20394630</v>
      </c>
      <c r="N14" s="74"/>
      <c r="O14" s="74">
        <v>1132722</v>
      </c>
      <c r="P14" s="74"/>
      <c r="Q14" s="74">
        <v>0</v>
      </c>
      <c r="R14" s="74"/>
      <c r="S14" s="74">
        <v>1788249</v>
      </c>
      <c r="T14" s="74"/>
      <c r="U14" s="74">
        <f t="shared" si="2"/>
        <v>2920971</v>
      </c>
      <c r="V14" s="35">
        <f>G14-M14-U14</f>
        <v>0</v>
      </c>
      <c r="W14" s="35"/>
      <c r="X14" s="23" t="s">
        <v>15</v>
      </c>
      <c r="Y14" s="35"/>
      <c r="Z14" s="74">
        <f>3057335+474844</f>
        <v>3532179</v>
      </c>
      <c r="AA14" s="35"/>
      <c r="AB14" s="74">
        <f>223693+2026373+30833</f>
        <v>2280899</v>
      </c>
      <c r="AC14" s="35"/>
      <c r="AD14" s="74">
        <v>856913</v>
      </c>
      <c r="AE14" s="35"/>
      <c r="AF14" s="74">
        <f t="shared" si="3"/>
        <v>394367</v>
      </c>
      <c r="AG14" s="35"/>
      <c r="AH14" s="74">
        <v>-344515</v>
      </c>
      <c r="AI14" s="35"/>
      <c r="AJ14" s="74">
        <v>0</v>
      </c>
      <c r="AK14" s="35"/>
      <c r="AL14" s="74">
        <v>0</v>
      </c>
      <c r="AM14" s="35"/>
      <c r="AN14" s="74">
        <v>0</v>
      </c>
      <c r="AO14" s="35"/>
      <c r="AP14" s="74">
        <f t="shared" si="4"/>
        <v>49852</v>
      </c>
      <c r="AQ14" s="35"/>
      <c r="AR14" s="35">
        <v>0</v>
      </c>
      <c r="AS14" s="35"/>
      <c r="AT14" s="35">
        <v>0</v>
      </c>
      <c r="AU14" s="35"/>
      <c r="AV14" s="74">
        <f t="shared" si="5"/>
        <v>1335773</v>
      </c>
      <c r="AW14" s="35"/>
      <c r="AX14" s="23" t="s">
        <v>15</v>
      </c>
      <c r="AY14" s="35"/>
      <c r="AZ14" s="74">
        <v>0</v>
      </c>
      <c r="BA14" s="35"/>
      <c r="BB14" s="74">
        <v>4963000</v>
      </c>
      <c r="BC14" s="35"/>
      <c r="BD14" s="74">
        <f>13689955+965243</f>
        <v>14655198</v>
      </c>
      <c r="BE14" s="35"/>
      <c r="BF14" s="74">
        <v>0</v>
      </c>
      <c r="BG14" s="35"/>
      <c r="BH14" s="35"/>
      <c r="BI14" s="35"/>
      <c r="BJ14" s="48">
        <f t="shared" si="6"/>
        <v>19618198</v>
      </c>
    </row>
    <row r="15" spans="1:62" s="36" customFormat="1" ht="12">
      <c r="A15" s="23" t="s">
        <v>16</v>
      </c>
      <c r="B15" s="23"/>
      <c r="C15" s="35">
        <f t="shared" si="1"/>
        <v>546014</v>
      </c>
      <c r="D15" s="35"/>
      <c r="E15" s="35">
        <v>669716</v>
      </c>
      <c r="F15" s="35"/>
      <c r="G15" s="35">
        <v>1215730</v>
      </c>
      <c r="H15" s="35"/>
      <c r="I15" s="35">
        <f aca="true" t="shared" si="7" ref="I15:I23">+M15-K15</f>
        <v>140470</v>
      </c>
      <c r="J15" s="35"/>
      <c r="K15" s="35">
        <f t="shared" si="0"/>
        <v>104578</v>
      </c>
      <c r="L15" s="35"/>
      <c r="M15" s="35">
        <v>245048</v>
      </c>
      <c r="N15" s="35"/>
      <c r="O15" s="35">
        <v>561845</v>
      </c>
      <c r="P15" s="35"/>
      <c r="Q15" s="35">
        <v>0</v>
      </c>
      <c r="R15" s="35"/>
      <c r="S15" s="35">
        <v>408837</v>
      </c>
      <c r="T15" s="35"/>
      <c r="U15" s="35">
        <f t="shared" si="2"/>
        <v>970682</v>
      </c>
      <c r="V15" s="35"/>
      <c r="W15" s="35"/>
      <c r="X15" s="23" t="s">
        <v>16</v>
      </c>
      <c r="Y15" s="35"/>
      <c r="Z15" s="35">
        <v>739872</v>
      </c>
      <c r="AA15" s="35"/>
      <c r="AB15" s="35">
        <f>99429+25482+784112+16130+24399</f>
        <v>949552</v>
      </c>
      <c r="AC15" s="35"/>
      <c r="AD15" s="35">
        <v>36738</v>
      </c>
      <c r="AE15" s="35"/>
      <c r="AF15" s="35">
        <f t="shared" si="3"/>
        <v>-246418</v>
      </c>
      <c r="AG15" s="35"/>
      <c r="AH15" s="35">
        <v>-3733</v>
      </c>
      <c r="AI15" s="35"/>
      <c r="AJ15" s="35">
        <v>0</v>
      </c>
      <c r="AK15" s="35"/>
      <c r="AL15" s="35">
        <v>0</v>
      </c>
      <c r="AM15" s="35"/>
      <c r="AN15" s="35">
        <v>0</v>
      </c>
      <c r="AO15" s="35"/>
      <c r="AP15" s="35">
        <f t="shared" si="4"/>
        <v>-250151</v>
      </c>
      <c r="AQ15" s="35"/>
      <c r="AR15" s="35">
        <v>0</v>
      </c>
      <c r="AS15" s="35"/>
      <c r="AT15" s="35">
        <v>0</v>
      </c>
      <c r="AU15" s="35"/>
      <c r="AV15" s="35">
        <f t="shared" si="5"/>
        <v>405544</v>
      </c>
      <c r="AW15" s="35"/>
      <c r="AX15" s="23" t="s">
        <v>16</v>
      </c>
      <c r="AY15" s="35"/>
      <c r="AZ15" s="35">
        <v>0</v>
      </c>
      <c r="BA15" s="35"/>
      <c r="BB15" s="35">
        <v>0</v>
      </c>
      <c r="BC15" s="35"/>
      <c r="BD15" s="35">
        <f>68671+39200-1093-2200</f>
        <v>104578</v>
      </c>
      <c r="BE15" s="35"/>
      <c r="BF15" s="35">
        <v>0</v>
      </c>
      <c r="BG15" s="35"/>
      <c r="BH15" s="35"/>
      <c r="BI15" s="35"/>
      <c r="BJ15" s="17">
        <f t="shared" si="6"/>
        <v>104578</v>
      </c>
    </row>
    <row r="16" spans="1:62" s="36" customFormat="1" ht="12" hidden="1">
      <c r="A16" s="23" t="s">
        <v>17</v>
      </c>
      <c r="B16" s="23"/>
      <c r="C16" s="35">
        <f t="shared" si="1"/>
        <v>0</v>
      </c>
      <c r="D16" s="35"/>
      <c r="E16" s="35">
        <v>0</v>
      </c>
      <c r="F16" s="35"/>
      <c r="G16" s="35">
        <v>0</v>
      </c>
      <c r="H16" s="35"/>
      <c r="I16" s="35">
        <f t="shared" si="7"/>
        <v>0</v>
      </c>
      <c r="J16" s="35"/>
      <c r="K16" s="35">
        <f t="shared" si="0"/>
        <v>0</v>
      </c>
      <c r="L16" s="35"/>
      <c r="M16" s="35"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5">
        <f t="shared" si="2"/>
        <v>0</v>
      </c>
      <c r="V16" s="35"/>
      <c r="W16" s="35"/>
      <c r="X16" s="23" t="s">
        <v>17</v>
      </c>
      <c r="Y16" s="35"/>
      <c r="Z16" s="35">
        <v>0</v>
      </c>
      <c r="AA16" s="35"/>
      <c r="AB16" s="35">
        <v>0</v>
      </c>
      <c r="AC16" s="35"/>
      <c r="AD16" s="35">
        <v>0</v>
      </c>
      <c r="AE16" s="35"/>
      <c r="AF16" s="35">
        <f t="shared" si="3"/>
        <v>0</v>
      </c>
      <c r="AG16" s="35"/>
      <c r="AH16" s="35">
        <v>0</v>
      </c>
      <c r="AI16" s="35"/>
      <c r="AJ16" s="35">
        <v>0</v>
      </c>
      <c r="AK16" s="35"/>
      <c r="AL16" s="35">
        <v>0</v>
      </c>
      <c r="AM16" s="35"/>
      <c r="AN16" s="35">
        <v>0</v>
      </c>
      <c r="AO16" s="35"/>
      <c r="AP16" s="35">
        <f t="shared" si="4"/>
        <v>0</v>
      </c>
      <c r="AQ16" s="35"/>
      <c r="AR16" s="35">
        <v>0</v>
      </c>
      <c r="AS16" s="35"/>
      <c r="AT16" s="35">
        <v>0</v>
      </c>
      <c r="AU16" s="35"/>
      <c r="AV16" s="35">
        <f t="shared" si="5"/>
        <v>0</v>
      </c>
      <c r="AW16" s="35"/>
      <c r="AX16" s="23" t="s">
        <v>17</v>
      </c>
      <c r="AY16" s="35"/>
      <c r="AZ16" s="35">
        <v>0</v>
      </c>
      <c r="BA16" s="35"/>
      <c r="BB16" s="35">
        <v>0</v>
      </c>
      <c r="BC16" s="35"/>
      <c r="BD16" s="35">
        <v>0</v>
      </c>
      <c r="BE16" s="35"/>
      <c r="BF16" s="35">
        <v>0</v>
      </c>
      <c r="BG16" s="35"/>
      <c r="BH16" s="35"/>
      <c r="BI16" s="35"/>
      <c r="BJ16" s="17">
        <f t="shared" si="6"/>
        <v>0</v>
      </c>
    </row>
    <row r="17" spans="1:62" s="36" customFormat="1" ht="12">
      <c r="A17" s="23" t="s">
        <v>18</v>
      </c>
      <c r="B17" s="23"/>
      <c r="C17" s="35">
        <f t="shared" si="1"/>
        <v>3495855</v>
      </c>
      <c r="D17" s="35"/>
      <c r="E17" s="35">
        <v>21364062</v>
      </c>
      <c r="F17" s="35"/>
      <c r="G17" s="35">
        <v>24859917</v>
      </c>
      <c r="H17" s="35"/>
      <c r="I17" s="35">
        <f t="shared" si="7"/>
        <v>579406</v>
      </c>
      <c r="J17" s="35"/>
      <c r="K17" s="35">
        <f t="shared" si="0"/>
        <v>11276265</v>
      </c>
      <c r="L17" s="35"/>
      <c r="M17" s="35">
        <v>11855671</v>
      </c>
      <c r="N17" s="35"/>
      <c r="O17" s="35">
        <v>9408407</v>
      </c>
      <c r="P17" s="35"/>
      <c r="Q17" s="35">
        <v>355622</v>
      </c>
      <c r="R17" s="35"/>
      <c r="S17" s="35">
        <v>3240217</v>
      </c>
      <c r="T17" s="35"/>
      <c r="U17" s="35">
        <f t="shared" si="2"/>
        <v>13004246</v>
      </c>
      <c r="V17" s="35">
        <f>G17-M17-U17</f>
        <v>0</v>
      </c>
      <c r="W17" s="35"/>
      <c r="X17" s="23" t="s">
        <v>18</v>
      </c>
      <c r="Y17" s="35"/>
      <c r="Z17" s="35">
        <v>2965791</v>
      </c>
      <c r="AA17" s="35"/>
      <c r="AB17" s="35">
        <f>779747+922134+305404+5252</f>
        <v>2012537</v>
      </c>
      <c r="AC17" s="35"/>
      <c r="AD17" s="35">
        <v>670967</v>
      </c>
      <c r="AE17" s="35"/>
      <c r="AF17" s="35">
        <f t="shared" si="3"/>
        <v>282287</v>
      </c>
      <c r="AG17" s="35"/>
      <c r="AH17" s="35">
        <v>-475962</v>
      </c>
      <c r="AI17" s="35"/>
      <c r="AJ17" s="35">
        <v>17081</v>
      </c>
      <c r="AK17" s="35"/>
      <c r="AL17" s="35">
        <v>0</v>
      </c>
      <c r="AM17" s="35"/>
      <c r="AN17" s="35">
        <v>24515</v>
      </c>
      <c r="AO17" s="35"/>
      <c r="AP17" s="35">
        <f t="shared" si="4"/>
        <v>-152079</v>
      </c>
      <c r="AQ17" s="35"/>
      <c r="AR17" s="35">
        <v>0</v>
      </c>
      <c r="AS17" s="35"/>
      <c r="AT17" s="35">
        <v>0</v>
      </c>
      <c r="AU17" s="35"/>
      <c r="AV17" s="35">
        <f t="shared" si="5"/>
        <v>2916449</v>
      </c>
      <c r="AW17" s="35"/>
      <c r="AX17" s="23" t="s">
        <v>18</v>
      </c>
      <c r="AY17" s="35"/>
      <c r="AZ17" s="35">
        <v>4334054</v>
      </c>
      <c r="BA17" s="35"/>
      <c r="BB17" s="35">
        <v>6525000</v>
      </c>
      <c r="BC17" s="35"/>
      <c r="BD17" s="35">
        <v>21297</v>
      </c>
      <c r="BE17" s="35"/>
      <c r="BF17" s="35">
        <f>34887+61027+300000</f>
        <v>395914</v>
      </c>
      <c r="BG17" s="35"/>
      <c r="BH17" s="35"/>
      <c r="BI17" s="35"/>
      <c r="BJ17" s="17">
        <f t="shared" si="6"/>
        <v>11276265</v>
      </c>
    </row>
    <row r="18" spans="1:62" s="36" customFormat="1" ht="12" hidden="1">
      <c r="A18" s="23" t="s">
        <v>240</v>
      </c>
      <c r="B18" s="23"/>
      <c r="C18" s="35">
        <f t="shared" si="1"/>
        <v>0</v>
      </c>
      <c r="D18" s="35"/>
      <c r="E18" s="35"/>
      <c r="F18" s="35"/>
      <c r="G18" s="35"/>
      <c r="H18" s="35"/>
      <c r="I18" s="35">
        <f t="shared" si="7"/>
        <v>0</v>
      </c>
      <c r="J18" s="35"/>
      <c r="K18" s="35">
        <f t="shared" si="0"/>
        <v>0</v>
      </c>
      <c r="L18" s="35"/>
      <c r="M18" s="35"/>
      <c r="N18" s="35"/>
      <c r="O18" s="35"/>
      <c r="P18" s="35"/>
      <c r="Q18" s="35"/>
      <c r="R18" s="35"/>
      <c r="S18" s="35"/>
      <c r="T18" s="35"/>
      <c r="U18" s="35">
        <f t="shared" si="2"/>
        <v>0</v>
      </c>
      <c r="V18" s="35">
        <f aca="true" t="shared" si="8" ref="V18:V23">G18-M18-U18</f>
        <v>0</v>
      </c>
      <c r="W18" s="35"/>
      <c r="X18" s="23" t="s">
        <v>96</v>
      </c>
      <c r="Y18" s="35"/>
      <c r="Z18" s="35"/>
      <c r="AA18" s="35"/>
      <c r="AB18" s="35"/>
      <c r="AC18" s="35"/>
      <c r="AD18" s="35"/>
      <c r="AE18" s="35"/>
      <c r="AF18" s="35">
        <f t="shared" si="3"/>
        <v>0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>
        <f t="shared" si="4"/>
        <v>0</v>
      </c>
      <c r="AQ18" s="35"/>
      <c r="AR18" s="35">
        <v>0</v>
      </c>
      <c r="AS18" s="35"/>
      <c r="AT18" s="35">
        <v>0</v>
      </c>
      <c r="AU18" s="35"/>
      <c r="AV18" s="35">
        <f t="shared" si="5"/>
        <v>0</v>
      </c>
      <c r="AW18" s="35"/>
      <c r="AX18" s="23" t="s">
        <v>96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17">
        <f t="shared" si="6"/>
        <v>0</v>
      </c>
    </row>
    <row r="19" spans="1:62" s="36" customFormat="1" ht="12">
      <c r="A19" s="23" t="s">
        <v>238</v>
      </c>
      <c r="B19" s="23"/>
      <c r="C19" s="35">
        <f t="shared" si="1"/>
        <v>25550741</v>
      </c>
      <c r="D19" s="35"/>
      <c r="E19" s="35">
        <v>147528200</v>
      </c>
      <c r="F19" s="35"/>
      <c r="G19" s="35">
        <v>173078941</v>
      </c>
      <c r="H19" s="35"/>
      <c r="I19" s="35">
        <f t="shared" si="7"/>
        <v>3345074</v>
      </c>
      <c r="J19" s="35"/>
      <c r="K19" s="35">
        <f t="shared" si="0"/>
        <v>74652817</v>
      </c>
      <c r="L19" s="35"/>
      <c r="M19" s="35">
        <v>77997891</v>
      </c>
      <c r="N19" s="35"/>
      <c r="O19" s="35">
        <v>73867238</v>
      </c>
      <c r="P19" s="35"/>
      <c r="Q19" s="35">
        <f>1393811+2000000</f>
        <v>3393811</v>
      </c>
      <c r="R19" s="35"/>
      <c r="S19" s="35">
        <v>17820001</v>
      </c>
      <c r="T19" s="35"/>
      <c r="U19" s="35">
        <f t="shared" si="2"/>
        <v>95081050</v>
      </c>
      <c r="V19" s="35">
        <f t="shared" si="8"/>
        <v>0</v>
      </c>
      <c r="W19" s="35"/>
      <c r="X19" s="23" t="s">
        <v>238</v>
      </c>
      <c r="Y19" s="35"/>
      <c r="Z19" s="35">
        <f>26202173+278726</f>
        <v>26480899</v>
      </c>
      <c r="AA19" s="35"/>
      <c r="AB19" s="35">
        <f>4910336+13898558+752695+606501</f>
        <v>20168090</v>
      </c>
      <c r="AC19" s="35"/>
      <c r="AD19" s="35">
        <v>6146432</v>
      </c>
      <c r="AE19" s="35"/>
      <c r="AF19" s="35">
        <f t="shared" si="3"/>
        <v>166377</v>
      </c>
      <c r="AG19" s="35"/>
      <c r="AH19" s="35">
        <v>1891466</v>
      </c>
      <c r="AI19" s="35"/>
      <c r="AJ19" s="35">
        <v>0</v>
      </c>
      <c r="AK19" s="35"/>
      <c r="AL19" s="35">
        <v>0</v>
      </c>
      <c r="AM19" s="35"/>
      <c r="AN19" s="35">
        <v>2265670</v>
      </c>
      <c r="AO19" s="35"/>
      <c r="AP19" s="35">
        <f t="shared" si="4"/>
        <v>4323513</v>
      </c>
      <c r="AQ19" s="35"/>
      <c r="AR19" s="35">
        <v>0</v>
      </c>
      <c r="AS19" s="35"/>
      <c r="AT19" s="35">
        <v>0</v>
      </c>
      <c r="AU19" s="35"/>
      <c r="AV19" s="35">
        <f t="shared" si="5"/>
        <v>22205667</v>
      </c>
      <c r="AW19" s="35"/>
      <c r="AX19" s="23" t="s">
        <v>238</v>
      </c>
      <c r="AY19" s="35"/>
      <c r="AZ19" s="35">
        <v>372066</v>
      </c>
      <c r="BA19" s="35"/>
      <c r="BB19" s="35">
        <f>34249605+2030000</f>
        <v>36279605</v>
      </c>
      <c r="BC19" s="35"/>
      <c r="BD19" s="35">
        <v>5660593</v>
      </c>
      <c r="BE19" s="35"/>
      <c r="BF19" s="35">
        <f>275057+113745+31951751</f>
        <v>32340553</v>
      </c>
      <c r="BG19" s="35"/>
      <c r="BH19" s="35"/>
      <c r="BI19" s="35"/>
      <c r="BJ19" s="17">
        <f t="shared" si="6"/>
        <v>74652817</v>
      </c>
    </row>
    <row r="20" spans="1:62" s="36" customFormat="1" ht="12" hidden="1">
      <c r="A20" s="23" t="s">
        <v>20</v>
      </c>
      <c r="B20" s="23"/>
      <c r="C20" s="35">
        <f t="shared" si="1"/>
        <v>0</v>
      </c>
      <c r="D20" s="35"/>
      <c r="E20" s="35">
        <v>0</v>
      </c>
      <c r="F20" s="35"/>
      <c r="G20" s="35">
        <v>0</v>
      </c>
      <c r="H20" s="35"/>
      <c r="I20" s="35">
        <f t="shared" si="7"/>
        <v>0</v>
      </c>
      <c r="J20" s="35"/>
      <c r="K20" s="35">
        <f t="shared" si="0"/>
        <v>0</v>
      </c>
      <c r="L20" s="35"/>
      <c r="M20" s="35"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5">
        <f t="shared" si="2"/>
        <v>0</v>
      </c>
      <c r="V20" s="35"/>
      <c r="W20" s="35"/>
      <c r="X20" s="23" t="s">
        <v>20</v>
      </c>
      <c r="Y20" s="35"/>
      <c r="Z20" s="35">
        <v>0</v>
      </c>
      <c r="AA20" s="35"/>
      <c r="AB20" s="35">
        <v>0</v>
      </c>
      <c r="AC20" s="35"/>
      <c r="AD20" s="35">
        <v>0</v>
      </c>
      <c r="AE20" s="35"/>
      <c r="AF20" s="35">
        <f t="shared" si="3"/>
        <v>0</v>
      </c>
      <c r="AG20" s="35"/>
      <c r="AH20" s="35">
        <v>0</v>
      </c>
      <c r="AI20" s="35"/>
      <c r="AJ20" s="35">
        <v>0</v>
      </c>
      <c r="AK20" s="35"/>
      <c r="AL20" s="35">
        <v>0</v>
      </c>
      <c r="AM20" s="35"/>
      <c r="AN20" s="35">
        <v>0</v>
      </c>
      <c r="AO20" s="35"/>
      <c r="AP20" s="35">
        <f t="shared" si="4"/>
        <v>0</v>
      </c>
      <c r="AQ20" s="35"/>
      <c r="AR20" s="35"/>
      <c r="AS20" s="35"/>
      <c r="AT20" s="35"/>
      <c r="AU20" s="35"/>
      <c r="AV20" s="35">
        <f t="shared" si="5"/>
        <v>0</v>
      </c>
      <c r="AW20" s="35"/>
      <c r="AX20" s="23" t="s">
        <v>20</v>
      </c>
      <c r="AY20" s="35"/>
      <c r="AZ20" s="35">
        <v>0</v>
      </c>
      <c r="BA20" s="35"/>
      <c r="BB20" s="35">
        <v>0</v>
      </c>
      <c r="BC20" s="35"/>
      <c r="BD20" s="35">
        <v>0</v>
      </c>
      <c r="BE20" s="35"/>
      <c r="BF20" s="35">
        <v>0</v>
      </c>
      <c r="BG20" s="35"/>
      <c r="BH20" s="35"/>
      <c r="BI20" s="35"/>
      <c r="BJ20" s="17">
        <f t="shared" si="6"/>
        <v>0</v>
      </c>
    </row>
    <row r="21" spans="1:62" s="36" customFormat="1" ht="12" hidden="1">
      <c r="A21" s="23" t="s">
        <v>173</v>
      </c>
      <c r="B21" s="23"/>
      <c r="C21" s="35">
        <f t="shared" si="1"/>
        <v>0</v>
      </c>
      <c r="D21" s="35"/>
      <c r="E21" s="35">
        <v>0</v>
      </c>
      <c r="F21" s="35"/>
      <c r="G21" s="35">
        <v>0</v>
      </c>
      <c r="H21" s="35"/>
      <c r="I21" s="35">
        <f t="shared" si="7"/>
        <v>0</v>
      </c>
      <c r="J21" s="35"/>
      <c r="K21" s="35">
        <f t="shared" si="0"/>
        <v>0</v>
      </c>
      <c r="L21" s="35"/>
      <c r="M21" s="35"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5">
        <f t="shared" si="2"/>
        <v>0</v>
      </c>
      <c r="V21" s="35">
        <f t="shared" si="8"/>
        <v>0</v>
      </c>
      <c r="W21" s="35"/>
      <c r="X21" s="23" t="s">
        <v>173</v>
      </c>
      <c r="Y21" s="35"/>
      <c r="Z21" s="35">
        <v>0</v>
      </c>
      <c r="AA21" s="35"/>
      <c r="AB21" s="35">
        <v>0</v>
      </c>
      <c r="AC21" s="35"/>
      <c r="AD21" s="35">
        <v>0</v>
      </c>
      <c r="AE21" s="35"/>
      <c r="AF21" s="35">
        <f t="shared" si="3"/>
        <v>0</v>
      </c>
      <c r="AG21" s="35"/>
      <c r="AH21" s="35">
        <v>0</v>
      </c>
      <c r="AI21" s="35"/>
      <c r="AJ21" s="35">
        <v>0</v>
      </c>
      <c r="AK21" s="35"/>
      <c r="AL21" s="35">
        <v>0</v>
      </c>
      <c r="AM21" s="35"/>
      <c r="AN21" s="35">
        <v>0</v>
      </c>
      <c r="AO21" s="35"/>
      <c r="AP21" s="35">
        <f t="shared" si="4"/>
        <v>0</v>
      </c>
      <c r="AQ21" s="35"/>
      <c r="AR21" s="35">
        <v>0</v>
      </c>
      <c r="AS21" s="35"/>
      <c r="AT21" s="35">
        <v>0</v>
      </c>
      <c r="AU21" s="35"/>
      <c r="AV21" s="35">
        <f t="shared" si="5"/>
        <v>0</v>
      </c>
      <c r="AW21" s="35"/>
      <c r="AX21" s="23" t="s">
        <v>173</v>
      </c>
      <c r="AY21" s="35"/>
      <c r="AZ21" s="35">
        <v>0</v>
      </c>
      <c r="BA21" s="35"/>
      <c r="BB21" s="35">
        <v>0</v>
      </c>
      <c r="BC21" s="35"/>
      <c r="BD21" s="35">
        <v>0</v>
      </c>
      <c r="BE21" s="35"/>
      <c r="BF21" s="35">
        <v>0</v>
      </c>
      <c r="BG21" s="35"/>
      <c r="BH21" s="35"/>
      <c r="BI21" s="35"/>
      <c r="BJ21" s="17">
        <f t="shared" si="6"/>
        <v>0</v>
      </c>
    </row>
    <row r="22" spans="1:62" s="36" customFormat="1" ht="12">
      <c r="A22" s="23" t="s">
        <v>21</v>
      </c>
      <c r="B22" s="23"/>
      <c r="C22" s="35">
        <f t="shared" si="1"/>
        <v>1528106</v>
      </c>
      <c r="D22" s="35"/>
      <c r="E22" s="35">
        <v>5926035</v>
      </c>
      <c r="F22" s="35"/>
      <c r="G22" s="35">
        <v>7454141</v>
      </c>
      <c r="H22" s="35"/>
      <c r="I22" s="35">
        <f t="shared" si="7"/>
        <v>1996458</v>
      </c>
      <c r="J22" s="35"/>
      <c r="K22" s="35">
        <f t="shared" si="0"/>
        <v>952305</v>
      </c>
      <c r="L22" s="35"/>
      <c r="M22" s="35">
        <v>2948763</v>
      </c>
      <c r="N22" s="35"/>
      <c r="O22" s="35">
        <v>2828907</v>
      </c>
      <c r="P22" s="35"/>
      <c r="Q22" s="35">
        <v>0</v>
      </c>
      <c r="R22" s="35"/>
      <c r="S22" s="35">
        <v>1676471</v>
      </c>
      <c r="T22" s="35"/>
      <c r="U22" s="35">
        <f t="shared" si="2"/>
        <v>4505378</v>
      </c>
      <c r="V22" s="35">
        <f t="shared" si="8"/>
        <v>0</v>
      </c>
      <c r="W22" s="35"/>
      <c r="X22" s="23" t="s">
        <v>21</v>
      </c>
      <c r="Y22" s="35"/>
      <c r="Z22" s="35">
        <v>2126132</v>
      </c>
      <c r="AA22" s="35"/>
      <c r="AB22" s="35">
        <f>684503+1050969+83584+94533</f>
        <v>1913589</v>
      </c>
      <c r="AC22" s="35"/>
      <c r="AD22" s="35">
        <v>157263</v>
      </c>
      <c r="AE22" s="35"/>
      <c r="AF22" s="35">
        <f t="shared" si="3"/>
        <v>55280</v>
      </c>
      <c r="AG22" s="35"/>
      <c r="AH22" s="35">
        <v>-93208</v>
      </c>
      <c r="AI22" s="35"/>
      <c r="AJ22" s="35">
        <v>235488</v>
      </c>
      <c r="AK22" s="35"/>
      <c r="AL22" s="35">
        <v>235488</v>
      </c>
      <c r="AM22" s="35"/>
      <c r="AN22" s="35">
        <v>345487</v>
      </c>
      <c r="AO22" s="35"/>
      <c r="AP22" s="35">
        <f t="shared" si="4"/>
        <v>307559</v>
      </c>
      <c r="AQ22" s="35"/>
      <c r="AR22" s="35">
        <v>0</v>
      </c>
      <c r="AS22" s="35"/>
      <c r="AT22" s="35">
        <v>0</v>
      </c>
      <c r="AU22" s="35"/>
      <c r="AV22" s="35">
        <f t="shared" si="5"/>
        <v>-468352</v>
      </c>
      <c r="AW22" s="35"/>
      <c r="AX22" s="23" t="s">
        <v>21</v>
      </c>
      <c r="AY22" s="35"/>
      <c r="AZ22" s="35">
        <f>495000+4608</f>
        <v>499608</v>
      </c>
      <c r="BA22" s="35"/>
      <c r="BB22" s="35">
        <v>0</v>
      </c>
      <c r="BC22" s="35"/>
      <c r="BD22" s="35">
        <v>387800</v>
      </c>
      <c r="BE22" s="35"/>
      <c r="BF22" s="35">
        <v>64897</v>
      </c>
      <c r="BG22" s="35"/>
      <c r="BH22" s="35"/>
      <c r="BI22" s="35"/>
      <c r="BJ22" s="17">
        <f t="shared" si="6"/>
        <v>952305</v>
      </c>
    </row>
    <row r="23" spans="1:62" s="36" customFormat="1" ht="12">
      <c r="A23" s="23" t="s">
        <v>181</v>
      </c>
      <c r="B23" s="23"/>
      <c r="C23" s="35">
        <f t="shared" si="1"/>
        <v>23005842</v>
      </c>
      <c r="D23" s="35"/>
      <c r="E23" s="35">
        <v>115087367</v>
      </c>
      <c r="F23" s="35"/>
      <c r="G23" s="35">
        <v>138093209</v>
      </c>
      <c r="H23" s="35"/>
      <c r="I23" s="35">
        <f t="shared" si="7"/>
        <v>1016380</v>
      </c>
      <c r="J23" s="35"/>
      <c r="K23" s="35">
        <f t="shared" si="0"/>
        <v>30129688</v>
      </c>
      <c r="L23" s="35"/>
      <c r="M23" s="35">
        <v>31146068</v>
      </c>
      <c r="N23" s="35"/>
      <c r="O23" s="35">
        <v>80690105</v>
      </c>
      <c r="P23" s="35"/>
      <c r="Q23" s="35">
        <v>3531134</v>
      </c>
      <c r="R23" s="35"/>
      <c r="S23" s="35">
        <v>22725902</v>
      </c>
      <c r="T23" s="35"/>
      <c r="U23" s="35">
        <f t="shared" si="2"/>
        <v>106947141</v>
      </c>
      <c r="V23" s="35">
        <f t="shared" si="8"/>
        <v>0</v>
      </c>
      <c r="W23" s="35"/>
      <c r="X23" s="23" t="s">
        <v>181</v>
      </c>
      <c r="Y23" s="35"/>
      <c r="Z23" s="35">
        <v>14018641</v>
      </c>
      <c r="AA23" s="35"/>
      <c r="AB23" s="35">
        <f>2869920+1561981+919078+683698+1376014+136265</f>
        <v>7546956</v>
      </c>
      <c r="AC23" s="35"/>
      <c r="AD23" s="35">
        <v>3821376</v>
      </c>
      <c r="AE23" s="35"/>
      <c r="AF23" s="35">
        <f t="shared" si="3"/>
        <v>2650309</v>
      </c>
      <c r="AG23" s="35"/>
      <c r="AH23" s="35">
        <v>-416214</v>
      </c>
      <c r="AI23" s="35"/>
      <c r="AJ23" s="35">
        <v>0</v>
      </c>
      <c r="AK23" s="35"/>
      <c r="AL23" s="35">
        <v>0</v>
      </c>
      <c r="AM23" s="35"/>
      <c r="AN23" s="35">
        <v>3404586</v>
      </c>
      <c r="AO23" s="35"/>
      <c r="AP23" s="35">
        <f t="shared" si="4"/>
        <v>5638681</v>
      </c>
      <c r="AQ23" s="35"/>
      <c r="AR23" s="35">
        <v>0</v>
      </c>
      <c r="AS23" s="35"/>
      <c r="AT23" s="35">
        <v>0</v>
      </c>
      <c r="AU23" s="35"/>
      <c r="AV23" s="35">
        <f t="shared" si="5"/>
        <v>21989462</v>
      </c>
      <c r="AW23" s="35"/>
      <c r="AX23" s="23" t="s">
        <v>181</v>
      </c>
      <c r="AY23" s="35"/>
      <c r="AZ23" s="35">
        <v>0</v>
      </c>
      <c r="BA23" s="35"/>
      <c r="BB23" s="35">
        <v>26815000</v>
      </c>
      <c r="BC23" s="35"/>
      <c r="BD23" s="35">
        <v>422957</v>
      </c>
      <c r="BE23" s="35"/>
      <c r="BF23" s="35">
        <f>2151435+180338+559958</f>
        <v>2891731</v>
      </c>
      <c r="BG23" s="35"/>
      <c r="BH23" s="35"/>
      <c r="BI23" s="35"/>
      <c r="BJ23" s="17">
        <f t="shared" si="6"/>
        <v>30129688</v>
      </c>
    </row>
    <row r="24" spans="1:62" s="36" customFormat="1" ht="12" hidden="1">
      <c r="A24" s="23" t="s">
        <v>22</v>
      </c>
      <c r="B24" s="23"/>
      <c r="C24" s="35">
        <f t="shared" si="1"/>
        <v>0</v>
      </c>
      <c r="D24" s="35"/>
      <c r="E24" s="35">
        <v>0</v>
      </c>
      <c r="F24" s="35"/>
      <c r="G24" s="35">
        <v>0</v>
      </c>
      <c r="H24" s="35"/>
      <c r="I24" s="35">
        <f aca="true" t="shared" si="9" ref="I24:I87">+M24-K24</f>
        <v>0</v>
      </c>
      <c r="J24" s="35"/>
      <c r="K24" s="35">
        <f t="shared" si="0"/>
        <v>0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f t="shared" si="2"/>
        <v>0</v>
      </c>
      <c r="V24" s="35">
        <f aca="true" t="shared" si="10" ref="V24:V87">G24-M24-U24</f>
        <v>0</v>
      </c>
      <c r="W24" s="35"/>
      <c r="X24" s="23" t="s">
        <v>22</v>
      </c>
      <c r="Y24" s="35"/>
      <c r="Z24" s="35">
        <v>0</v>
      </c>
      <c r="AA24" s="35"/>
      <c r="AB24" s="35">
        <v>0</v>
      </c>
      <c r="AC24" s="35"/>
      <c r="AD24" s="35">
        <v>0</v>
      </c>
      <c r="AE24" s="35"/>
      <c r="AF24" s="35">
        <f t="shared" si="3"/>
        <v>0</v>
      </c>
      <c r="AG24" s="35"/>
      <c r="AH24" s="35">
        <v>0</v>
      </c>
      <c r="AI24" s="35"/>
      <c r="AJ24" s="35">
        <v>0</v>
      </c>
      <c r="AK24" s="35"/>
      <c r="AL24" s="35">
        <v>0</v>
      </c>
      <c r="AM24" s="35"/>
      <c r="AN24" s="35">
        <v>0</v>
      </c>
      <c r="AO24" s="35"/>
      <c r="AP24" s="35">
        <f t="shared" si="4"/>
        <v>0</v>
      </c>
      <c r="AQ24" s="35"/>
      <c r="AR24" s="35">
        <v>0</v>
      </c>
      <c r="AS24" s="35"/>
      <c r="AT24" s="35">
        <v>0</v>
      </c>
      <c r="AU24" s="35"/>
      <c r="AV24" s="35">
        <f t="shared" si="5"/>
        <v>0</v>
      </c>
      <c r="AW24" s="35"/>
      <c r="AX24" s="23" t="s">
        <v>22</v>
      </c>
      <c r="AY24" s="35"/>
      <c r="AZ24" s="35">
        <v>0</v>
      </c>
      <c r="BA24" s="35"/>
      <c r="BB24" s="35">
        <v>0</v>
      </c>
      <c r="BC24" s="35"/>
      <c r="BD24" s="35">
        <v>0</v>
      </c>
      <c r="BE24" s="35"/>
      <c r="BF24" s="35">
        <v>0</v>
      </c>
      <c r="BG24" s="35"/>
      <c r="BH24" s="35"/>
      <c r="BI24" s="35"/>
      <c r="BJ24" s="17">
        <f t="shared" si="6"/>
        <v>0</v>
      </c>
    </row>
    <row r="25" spans="1:62" s="36" customFormat="1" ht="12" hidden="1">
      <c r="A25" s="23" t="s">
        <v>23</v>
      </c>
      <c r="B25" s="23"/>
      <c r="C25" s="35">
        <f t="shared" si="1"/>
        <v>0</v>
      </c>
      <c r="D25" s="35"/>
      <c r="E25" s="35"/>
      <c r="F25" s="35"/>
      <c r="G25" s="35"/>
      <c r="H25" s="35"/>
      <c r="I25" s="35">
        <f t="shared" si="9"/>
        <v>0</v>
      </c>
      <c r="J25" s="35"/>
      <c r="K25" s="35">
        <f t="shared" si="0"/>
        <v>0</v>
      </c>
      <c r="L25" s="35"/>
      <c r="M25" s="35"/>
      <c r="N25" s="35"/>
      <c r="O25" s="35"/>
      <c r="P25" s="35"/>
      <c r="Q25" s="35"/>
      <c r="R25" s="35"/>
      <c r="S25" s="35"/>
      <c r="T25" s="35"/>
      <c r="U25" s="35">
        <f t="shared" si="2"/>
        <v>0</v>
      </c>
      <c r="V25" s="35">
        <f t="shared" si="10"/>
        <v>0</v>
      </c>
      <c r="W25" s="35"/>
      <c r="X25" s="23" t="s">
        <v>23</v>
      </c>
      <c r="Y25" s="35"/>
      <c r="Z25" s="35"/>
      <c r="AA25" s="35"/>
      <c r="AB25" s="35"/>
      <c r="AC25" s="35"/>
      <c r="AD25" s="35"/>
      <c r="AE25" s="35"/>
      <c r="AF25" s="35">
        <f t="shared" si="3"/>
        <v>0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>
        <f t="shared" si="4"/>
        <v>0</v>
      </c>
      <c r="AQ25" s="35"/>
      <c r="AR25" s="35">
        <v>0</v>
      </c>
      <c r="AS25" s="35"/>
      <c r="AT25" s="35">
        <v>0</v>
      </c>
      <c r="AU25" s="35"/>
      <c r="AV25" s="35">
        <f t="shared" si="5"/>
        <v>0</v>
      </c>
      <c r="AW25" s="35"/>
      <c r="AX25" s="23" t="s">
        <v>23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17">
        <f t="shared" si="6"/>
        <v>0</v>
      </c>
    </row>
    <row r="26" spans="1:62" s="36" customFormat="1" ht="12" hidden="1">
      <c r="A26" s="23" t="s">
        <v>24</v>
      </c>
      <c r="B26" s="23"/>
      <c r="C26" s="35">
        <f t="shared" si="1"/>
        <v>0</v>
      </c>
      <c r="D26" s="35"/>
      <c r="E26" s="35">
        <v>0</v>
      </c>
      <c r="F26" s="35"/>
      <c r="G26" s="35">
        <v>0</v>
      </c>
      <c r="H26" s="35"/>
      <c r="I26" s="35">
        <f t="shared" si="9"/>
        <v>0</v>
      </c>
      <c r="J26" s="35"/>
      <c r="K26" s="35">
        <f t="shared" si="0"/>
        <v>0</v>
      </c>
      <c r="L26" s="35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f t="shared" si="2"/>
        <v>0</v>
      </c>
      <c r="V26" s="35">
        <f t="shared" si="10"/>
        <v>0</v>
      </c>
      <c r="W26" s="35"/>
      <c r="X26" s="23" t="s">
        <v>24</v>
      </c>
      <c r="Y26" s="35"/>
      <c r="Z26" s="35">
        <v>0</v>
      </c>
      <c r="AA26" s="35"/>
      <c r="AB26" s="35">
        <v>0</v>
      </c>
      <c r="AC26" s="35"/>
      <c r="AD26" s="35">
        <v>0</v>
      </c>
      <c r="AE26" s="35"/>
      <c r="AF26" s="35">
        <f t="shared" si="3"/>
        <v>0</v>
      </c>
      <c r="AG26" s="35"/>
      <c r="AH26" s="35">
        <v>0</v>
      </c>
      <c r="AI26" s="35"/>
      <c r="AJ26" s="35">
        <v>0</v>
      </c>
      <c r="AK26" s="35"/>
      <c r="AL26" s="35">
        <v>0</v>
      </c>
      <c r="AM26" s="35"/>
      <c r="AN26" s="35">
        <v>0</v>
      </c>
      <c r="AO26" s="35"/>
      <c r="AP26" s="35">
        <f t="shared" si="4"/>
        <v>0</v>
      </c>
      <c r="AQ26" s="35"/>
      <c r="AR26" s="35">
        <v>0</v>
      </c>
      <c r="AS26" s="35"/>
      <c r="AT26" s="35">
        <v>0</v>
      </c>
      <c r="AU26" s="35"/>
      <c r="AV26" s="35">
        <f t="shared" si="5"/>
        <v>0</v>
      </c>
      <c r="AW26" s="35"/>
      <c r="AX26" s="23" t="s">
        <v>24</v>
      </c>
      <c r="AY26" s="35"/>
      <c r="AZ26" s="35">
        <v>0</v>
      </c>
      <c r="BA26" s="35"/>
      <c r="BB26" s="35">
        <v>0</v>
      </c>
      <c r="BC26" s="35"/>
      <c r="BD26" s="35">
        <v>0</v>
      </c>
      <c r="BE26" s="35"/>
      <c r="BF26" s="35">
        <v>0</v>
      </c>
      <c r="BG26" s="35"/>
      <c r="BH26" s="35"/>
      <c r="BI26" s="35"/>
      <c r="BJ26" s="17">
        <f t="shared" si="6"/>
        <v>0</v>
      </c>
    </row>
    <row r="27" spans="1:62" s="36" customFormat="1" ht="12" hidden="1">
      <c r="A27" s="23" t="s">
        <v>243</v>
      </c>
      <c r="B27" s="23"/>
      <c r="C27" s="35">
        <f t="shared" si="1"/>
        <v>0</v>
      </c>
      <c r="D27" s="35"/>
      <c r="E27" s="35">
        <v>0</v>
      </c>
      <c r="F27" s="35"/>
      <c r="G27" s="35">
        <v>0</v>
      </c>
      <c r="H27" s="35"/>
      <c r="I27" s="35">
        <f t="shared" si="9"/>
        <v>0</v>
      </c>
      <c r="J27" s="35"/>
      <c r="K27" s="35">
        <f t="shared" si="0"/>
        <v>0</v>
      </c>
      <c r="L27" s="35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5">
        <f t="shared" si="2"/>
        <v>0</v>
      </c>
      <c r="V27" s="35">
        <f t="shared" si="10"/>
        <v>0</v>
      </c>
      <c r="W27" s="35"/>
      <c r="X27" s="23" t="s">
        <v>179</v>
      </c>
      <c r="Y27" s="35"/>
      <c r="Z27" s="35">
        <v>0</v>
      </c>
      <c r="AA27" s="35"/>
      <c r="AB27" s="35">
        <v>0</v>
      </c>
      <c r="AC27" s="35"/>
      <c r="AD27" s="35">
        <v>0</v>
      </c>
      <c r="AE27" s="35"/>
      <c r="AF27" s="35">
        <f t="shared" si="3"/>
        <v>0</v>
      </c>
      <c r="AG27" s="35"/>
      <c r="AH27" s="35">
        <v>0</v>
      </c>
      <c r="AI27" s="35"/>
      <c r="AJ27" s="35">
        <v>0</v>
      </c>
      <c r="AK27" s="35"/>
      <c r="AL27" s="35">
        <v>0</v>
      </c>
      <c r="AM27" s="35"/>
      <c r="AN27" s="35">
        <v>0</v>
      </c>
      <c r="AO27" s="35"/>
      <c r="AP27" s="35">
        <f t="shared" si="4"/>
        <v>0</v>
      </c>
      <c r="AQ27" s="35"/>
      <c r="AR27" s="35">
        <v>0</v>
      </c>
      <c r="AS27" s="35"/>
      <c r="AT27" s="35">
        <v>0</v>
      </c>
      <c r="AU27" s="35"/>
      <c r="AV27" s="35">
        <f t="shared" si="5"/>
        <v>0</v>
      </c>
      <c r="AW27" s="35"/>
      <c r="AX27" s="23" t="s">
        <v>179</v>
      </c>
      <c r="AY27" s="35"/>
      <c r="AZ27" s="35">
        <v>0</v>
      </c>
      <c r="BA27" s="35"/>
      <c r="BB27" s="35">
        <v>0</v>
      </c>
      <c r="BC27" s="35"/>
      <c r="BD27" s="35">
        <v>0</v>
      </c>
      <c r="BE27" s="35"/>
      <c r="BF27" s="35">
        <v>0</v>
      </c>
      <c r="BG27" s="35"/>
      <c r="BH27" s="35"/>
      <c r="BI27" s="35"/>
      <c r="BJ27" s="17">
        <f t="shared" si="6"/>
        <v>0</v>
      </c>
    </row>
    <row r="28" spans="1:62" s="36" customFormat="1" ht="12" hidden="1">
      <c r="A28" s="23" t="s">
        <v>25</v>
      </c>
      <c r="B28" s="23"/>
      <c r="C28" s="35">
        <f t="shared" si="1"/>
        <v>0</v>
      </c>
      <c r="D28" s="35"/>
      <c r="E28" s="35">
        <v>0</v>
      </c>
      <c r="F28" s="35"/>
      <c r="G28" s="35">
        <v>0</v>
      </c>
      <c r="H28" s="35"/>
      <c r="I28" s="35">
        <f t="shared" si="9"/>
        <v>0</v>
      </c>
      <c r="J28" s="35"/>
      <c r="K28" s="35">
        <f t="shared" si="0"/>
        <v>0</v>
      </c>
      <c r="L28" s="35"/>
      <c r="M28" s="35"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5">
        <f t="shared" si="2"/>
        <v>0</v>
      </c>
      <c r="V28" s="35">
        <f t="shared" si="10"/>
        <v>0</v>
      </c>
      <c r="W28" s="35"/>
      <c r="X28" s="23" t="s">
        <v>25</v>
      </c>
      <c r="Y28" s="35"/>
      <c r="Z28" s="35">
        <v>0</v>
      </c>
      <c r="AA28" s="35"/>
      <c r="AB28" s="35">
        <v>0</v>
      </c>
      <c r="AC28" s="35"/>
      <c r="AD28" s="35">
        <v>0</v>
      </c>
      <c r="AE28" s="35"/>
      <c r="AF28" s="35">
        <f t="shared" si="3"/>
        <v>0</v>
      </c>
      <c r="AG28" s="35"/>
      <c r="AH28" s="35">
        <v>0</v>
      </c>
      <c r="AI28" s="35"/>
      <c r="AJ28" s="35">
        <v>0</v>
      </c>
      <c r="AK28" s="35"/>
      <c r="AL28" s="35">
        <v>0</v>
      </c>
      <c r="AM28" s="35"/>
      <c r="AN28" s="35">
        <v>0</v>
      </c>
      <c r="AO28" s="35"/>
      <c r="AP28" s="35">
        <f t="shared" si="4"/>
        <v>0</v>
      </c>
      <c r="AQ28" s="35"/>
      <c r="AR28" s="35">
        <v>0</v>
      </c>
      <c r="AS28" s="35"/>
      <c r="AT28" s="35">
        <v>0</v>
      </c>
      <c r="AU28" s="35"/>
      <c r="AV28" s="35">
        <f t="shared" si="5"/>
        <v>0</v>
      </c>
      <c r="AW28" s="35"/>
      <c r="AX28" s="23" t="s">
        <v>25</v>
      </c>
      <c r="AY28" s="35"/>
      <c r="AZ28" s="35">
        <v>0</v>
      </c>
      <c r="BA28" s="35"/>
      <c r="BB28" s="35">
        <v>0</v>
      </c>
      <c r="BC28" s="35"/>
      <c r="BD28" s="35">
        <v>0</v>
      </c>
      <c r="BE28" s="35"/>
      <c r="BF28" s="35">
        <v>0</v>
      </c>
      <c r="BG28" s="35"/>
      <c r="BH28" s="35"/>
      <c r="BI28" s="35"/>
      <c r="BJ28" s="17">
        <f t="shared" si="6"/>
        <v>0</v>
      </c>
    </row>
    <row r="29" spans="1:62" s="36" customFormat="1" ht="12" hidden="1">
      <c r="A29" s="23" t="s">
        <v>26</v>
      </c>
      <c r="B29" s="23"/>
      <c r="C29" s="35">
        <f t="shared" si="1"/>
        <v>0</v>
      </c>
      <c r="D29" s="35"/>
      <c r="E29" s="35">
        <v>0</v>
      </c>
      <c r="F29" s="35"/>
      <c r="G29" s="35">
        <v>0</v>
      </c>
      <c r="H29" s="35"/>
      <c r="I29" s="35">
        <f t="shared" si="9"/>
        <v>0</v>
      </c>
      <c r="J29" s="35"/>
      <c r="K29" s="35">
        <f t="shared" si="0"/>
        <v>0</v>
      </c>
      <c r="L29" s="35"/>
      <c r="M29" s="35">
        <v>0</v>
      </c>
      <c r="N29" s="35"/>
      <c r="O29" s="35">
        <v>0</v>
      </c>
      <c r="P29" s="35"/>
      <c r="Q29" s="35">
        <v>0</v>
      </c>
      <c r="R29" s="35"/>
      <c r="S29" s="35">
        <v>0</v>
      </c>
      <c r="T29" s="35"/>
      <c r="U29" s="35">
        <f t="shared" si="2"/>
        <v>0</v>
      </c>
      <c r="V29" s="35">
        <f t="shared" si="10"/>
        <v>0</v>
      </c>
      <c r="W29" s="35"/>
      <c r="X29" s="23" t="s">
        <v>26</v>
      </c>
      <c r="Y29" s="35"/>
      <c r="Z29" s="35">
        <v>0</v>
      </c>
      <c r="AA29" s="35"/>
      <c r="AB29" s="35">
        <v>0</v>
      </c>
      <c r="AC29" s="35"/>
      <c r="AD29" s="35">
        <v>0</v>
      </c>
      <c r="AE29" s="35"/>
      <c r="AF29" s="35">
        <f t="shared" si="3"/>
        <v>0</v>
      </c>
      <c r="AG29" s="35"/>
      <c r="AH29" s="35">
        <v>0</v>
      </c>
      <c r="AI29" s="35"/>
      <c r="AJ29" s="35">
        <v>0</v>
      </c>
      <c r="AK29" s="35"/>
      <c r="AL29" s="35">
        <v>0</v>
      </c>
      <c r="AM29" s="35"/>
      <c r="AN29" s="35">
        <v>0</v>
      </c>
      <c r="AO29" s="35"/>
      <c r="AP29" s="35">
        <f t="shared" si="4"/>
        <v>0</v>
      </c>
      <c r="AQ29" s="35"/>
      <c r="AR29" s="35">
        <v>0</v>
      </c>
      <c r="AS29" s="35"/>
      <c r="AT29" s="35">
        <v>0</v>
      </c>
      <c r="AU29" s="35"/>
      <c r="AV29" s="35">
        <f t="shared" si="5"/>
        <v>0</v>
      </c>
      <c r="AW29" s="35"/>
      <c r="AX29" s="23" t="s">
        <v>26</v>
      </c>
      <c r="AY29" s="35"/>
      <c r="AZ29" s="35">
        <v>0</v>
      </c>
      <c r="BA29" s="35"/>
      <c r="BB29" s="35">
        <v>0</v>
      </c>
      <c r="BC29" s="35"/>
      <c r="BD29" s="35">
        <v>0</v>
      </c>
      <c r="BE29" s="35"/>
      <c r="BF29" s="35">
        <v>0</v>
      </c>
      <c r="BG29" s="35"/>
      <c r="BH29" s="35"/>
      <c r="BI29" s="35"/>
      <c r="BJ29" s="17">
        <f t="shared" si="6"/>
        <v>0</v>
      </c>
    </row>
    <row r="30" spans="1:62" s="36" customFormat="1" ht="12" hidden="1">
      <c r="A30" s="23" t="s">
        <v>27</v>
      </c>
      <c r="B30" s="23"/>
      <c r="C30" s="35">
        <f t="shared" si="1"/>
        <v>0</v>
      </c>
      <c r="D30" s="35"/>
      <c r="E30" s="35">
        <v>0</v>
      </c>
      <c r="F30" s="35"/>
      <c r="G30" s="35">
        <v>0</v>
      </c>
      <c r="H30" s="35"/>
      <c r="I30" s="35">
        <f t="shared" si="9"/>
        <v>0</v>
      </c>
      <c r="J30" s="35"/>
      <c r="K30" s="35">
        <f t="shared" si="0"/>
        <v>0</v>
      </c>
      <c r="L30" s="35"/>
      <c r="M30" s="35"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5">
        <f t="shared" si="2"/>
        <v>0</v>
      </c>
      <c r="V30" s="35">
        <f t="shared" si="10"/>
        <v>0</v>
      </c>
      <c r="W30" s="35"/>
      <c r="X30" s="23" t="s">
        <v>27</v>
      </c>
      <c r="Y30" s="35"/>
      <c r="Z30" s="35">
        <v>0</v>
      </c>
      <c r="AA30" s="35"/>
      <c r="AB30" s="35">
        <v>0</v>
      </c>
      <c r="AC30" s="35"/>
      <c r="AD30" s="35">
        <v>0</v>
      </c>
      <c r="AE30" s="35"/>
      <c r="AF30" s="35">
        <f t="shared" si="3"/>
        <v>0</v>
      </c>
      <c r="AG30" s="35"/>
      <c r="AH30" s="35">
        <v>0</v>
      </c>
      <c r="AI30" s="35"/>
      <c r="AJ30" s="35">
        <v>0</v>
      </c>
      <c r="AK30" s="35"/>
      <c r="AL30" s="35">
        <v>0</v>
      </c>
      <c r="AM30" s="35"/>
      <c r="AN30" s="35">
        <v>0</v>
      </c>
      <c r="AO30" s="35"/>
      <c r="AP30" s="35">
        <f t="shared" si="4"/>
        <v>0</v>
      </c>
      <c r="AQ30" s="35"/>
      <c r="AR30" s="35">
        <v>0</v>
      </c>
      <c r="AS30" s="35"/>
      <c r="AT30" s="35">
        <v>0</v>
      </c>
      <c r="AU30" s="35"/>
      <c r="AV30" s="35">
        <f t="shared" si="5"/>
        <v>0</v>
      </c>
      <c r="AW30" s="35"/>
      <c r="AX30" s="23" t="s">
        <v>27</v>
      </c>
      <c r="AY30" s="35"/>
      <c r="AZ30" s="35">
        <v>0</v>
      </c>
      <c r="BA30" s="35"/>
      <c r="BB30" s="35">
        <v>0</v>
      </c>
      <c r="BC30" s="35"/>
      <c r="BD30" s="35">
        <v>0</v>
      </c>
      <c r="BE30" s="35"/>
      <c r="BF30" s="35">
        <v>0</v>
      </c>
      <c r="BG30" s="35"/>
      <c r="BH30" s="35"/>
      <c r="BI30" s="35"/>
      <c r="BJ30" s="17">
        <f t="shared" si="6"/>
        <v>0</v>
      </c>
    </row>
    <row r="31" spans="1:62" s="36" customFormat="1" ht="12" hidden="1">
      <c r="A31" s="23" t="s">
        <v>28</v>
      </c>
      <c r="B31" s="23"/>
      <c r="C31" s="35">
        <f t="shared" si="1"/>
        <v>0</v>
      </c>
      <c r="D31" s="35"/>
      <c r="E31" s="35">
        <v>0</v>
      </c>
      <c r="F31" s="35"/>
      <c r="G31" s="35">
        <v>0</v>
      </c>
      <c r="H31" s="35"/>
      <c r="I31" s="35">
        <f t="shared" si="9"/>
        <v>0</v>
      </c>
      <c r="J31" s="35"/>
      <c r="K31" s="35">
        <f t="shared" si="0"/>
        <v>0</v>
      </c>
      <c r="L31" s="35"/>
      <c r="M31" s="35">
        <v>0</v>
      </c>
      <c r="N31" s="35"/>
      <c r="O31" s="35">
        <v>0</v>
      </c>
      <c r="P31" s="35"/>
      <c r="Q31" s="35">
        <v>0</v>
      </c>
      <c r="R31" s="35"/>
      <c r="S31" s="35">
        <v>0</v>
      </c>
      <c r="T31" s="35"/>
      <c r="U31" s="35">
        <f t="shared" si="2"/>
        <v>0</v>
      </c>
      <c r="V31" s="35">
        <f t="shared" si="10"/>
        <v>0</v>
      </c>
      <c r="W31" s="35"/>
      <c r="X31" s="23" t="s">
        <v>28</v>
      </c>
      <c r="Y31" s="35"/>
      <c r="Z31" s="35">
        <v>0</v>
      </c>
      <c r="AA31" s="35"/>
      <c r="AB31" s="35">
        <v>0</v>
      </c>
      <c r="AC31" s="35"/>
      <c r="AD31" s="35">
        <v>0</v>
      </c>
      <c r="AE31" s="35"/>
      <c r="AF31" s="35">
        <f t="shared" si="3"/>
        <v>0</v>
      </c>
      <c r="AG31" s="35"/>
      <c r="AH31" s="35">
        <v>0</v>
      </c>
      <c r="AI31" s="35"/>
      <c r="AJ31" s="35">
        <v>0</v>
      </c>
      <c r="AK31" s="35"/>
      <c r="AL31" s="35">
        <v>0</v>
      </c>
      <c r="AM31" s="35"/>
      <c r="AN31" s="35">
        <v>0</v>
      </c>
      <c r="AO31" s="35"/>
      <c r="AP31" s="35">
        <f t="shared" si="4"/>
        <v>0</v>
      </c>
      <c r="AQ31" s="35"/>
      <c r="AR31" s="35">
        <v>0</v>
      </c>
      <c r="AS31" s="35"/>
      <c r="AT31" s="35">
        <v>0</v>
      </c>
      <c r="AU31" s="35"/>
      <c r="AV31" s="35">
        <f t="shared" si="5"/>
        <v>0</v>
      </c>
      <c r="AW31" s="35"/>
      <c r="AX31" s="23" t="s">
        <v>28</v>
      </c>
      <c r="AY31" s="35"/>
      <c r="AZ31" s="35">
        <v>0</v>
      </c>
      <c r="BA31" s="35"/>
      <c r="BB31" s="35">
        <v>0</v>
      </c>
      <c r="BC31" s="35"/>
      <c r="BD31" s="35">
        <v>0</v>
      </c>
      <c r="BE31" s="35"/>
      <c r="BF31" s="35">
        <v>0</v>
      </c>
      <c r="BG31" s="35"/>
      <c r="BH31" s="35"/>
      <c r="BI31" s="35"/>
      <c r="BJ31" s="17">
        <f t="shared" si="6"/>
        <v>0</v>
      </c>
    </row>
    <row r="32" spans="1:62" s="36" customFormat="1" ht="12">
      <c r="A32" s="23" t="s">
        <v>29</v>
      </c>
      <c r="B32" s="23"/>
      <c r="C32" s="35">
        <f t="shared" si="1"/>
        <v>2667148</v>
      </c>
      <c r="D32" s="35"/>
      <c r="E32" s="35">
        <v>45549830</v>
      </c>
      <c r="F32" s="35"/>
      <c r="G32" s="35">
        <v>48216978</v>
      </c>
      <c r="H32" s="35"/>
      <c r="I32" s="35">
        <f t="shared" si="9"/>
        <v>2593301</v>
      </c>
      <c r="J32" s="35"/>
      <c r="K32" s="35">
        <f>SUM(BJ32)</f>
        <v>29810060</v>
      </c>
      <c r="L32" s="35"/>
      <c r="M32" s="35">
        <v>32403361</v>
      </c>
      <c r="N32" s="35"/>
      <c r="O32" s="35">
        <v>14406840</v>
      </c>
      <c r="P32" s="35"/>
      <c r="Q32" s="35">
        <v>0</v>
      </c>
      <c r="R32" s="35"/>
      <c r="S32" s="35">
        <v>1406777</v>
      </c>
      <c r="T32" s="35"/>
      <c r="U32" s="35">
        <f t="shared" si="2"/>
        <v>15813617</v>
      </c>
      <c r="V32" s="35">
        <f t="shared" si="10"/>
        <v>0</v>
      </c>
      <c r="W32" s="35"/>
      <c r="X32" s="23" t="s">
        <v>29</v>
      </c>
      <c r="Y32" s="35"/>
      <c r="Z32" s="35">
        <v>7584728</v>
      </c>
      <c r="AA32" s="35"/>
      <c r="AB32" s="35">
        <f>6282311-1391360</f>
        <v>4890951</v>
      </c>
      <c r="AC32" s="35"/>
      <c r="AD32" s="35">
        <v>1391360</v>
      </c>
      <c r="AE32" s="35"/>
      <c r="AF32" s="35">
        <f t="shared" si="3"/>
        <v>1302417</v>
      </c>
      <c r="AG32" s="35"/>
      <c r="AH32" s="35">
        <v>-1421359</v>
      </c>
      <c r="AI32" s="35"/>
      <c r="AJ32" s="35">
        <v>0</v>
      </c>
      <c r="AK32" s="35"/>
      <c r="AL32" s="35">
        <v>1800</v>
      </c>
      <c r="AM32" s="35"/>
      <c r="AN32" s="35">
        <v>0</v>
      </c>
      <c r="AO32" s="35"/>
      <c r="AP32" s="35">
        <f t="shared" si="4"/>
        <v>-120742</v>
      </c>
      <c r="AQ32" s="35"/>
      <c r="AR32" s="35">
        <v>0</v>
      </c>
      <c r="AS32" s="35"/>
      <c r="AT32" s="35">
        <v>0</v>
      </c>
      <c r="AU32" s="35"/>
      <c r="AV32" s="35">
        <f t="shared" si="5"/>
        <v>73847</v>
      </c>
      <c r="AW32" s="35"/>
      <c r="AX32" s="23" t="s">
        <v>29</v>
      </c>
      <c r="AY32" s="35"/>
      <c r="AZ32" s="35">
        <v>6478318</v>
      </c>
      <c r="BA32" s="35"/>
      <c r="BB32" s="35">
        <v>0</v>
      </c>
      <c r="BC32" s="35"/>
      <c r="BD32" s="35">
        <f>23182707+60863</f>
        <v>23243570</v>
      </c>
      <c r="BE32" s="35"/>
      <c r="BF32" s="35">
        <v>88172</v>
      </c>
      <c r="BG32" s="35"/>
      <c r="BH32" s="35"/>
      <c r="BI32" s="35"/>
      <c r="BJ32" s="17">
        <f t="shared" si="6"/>
        <v>29810060</v>
      </c>
    </row>
    <row r="33" spans="1:62" s="36" customFormat="1" ht="12">
      <c r="A33" s="23" t="s">
        <v>30</v>
      </c>
      <c r="B33" s="23"/>
      <c r="C33" s="35">
        <f t="shared" si="1"/>
        <v>3428380</v>
      </c>
      <c r="D33" s="35"/>
      <c r="E33" s="35">
        <v>26896617</v>
      </c>
      <c r="F33" s="35"/>
      <c r="G33" s="35">
        <v>30324997</v>
      </c>
      <c r="H33" s="35"/>
      <c r="I33" s="35">
        <f t="shared" si="9"/>
        <v>1069841</v>
      </c>
      <c r="J33" s="35"/>
      <c r="K33" s="35">
        <f t="shared" si="0"/>
        <v>9896366</v>
      </c>
      <c r="L33" s="35"/>
      <c r="M33" s="35">
        <v>10966207</v>
      </c>
      <c r="N33" s="35"/>
      <c r="O33" s="35">
        <v>16314204</v>
      </c>
      <c r="P33" s="35"/>
      <c r="Q33" s="35">
        <v>0</v>
      </c>
      <c r="R33" s="35"/>
      <c r="S33" s="35">
        <v>3044586</v>
      </c>
      <c r="T33" s="35"/>
      <c r="U33" s="35">
        <f t="shared" si="2"/>
        <v>19358790</v>
      </c>
      <c r="V33" s="35">
        <f t="shared" si="10"/>
        <v>0</v>
      </c>
      <c r="W33" s="35"/>
      <c r="X33" s="23" t="s">
        <v>30</v>
      </c>
      <c r="Y33" s="35"/>
      <c r="Z33" s="35">
        <v>2381556</v>
      </c>
      <c r="AA33" s="35"/>
      <c r="AB33" s="35">
        <f>2296345-816384</f>
        <v>1479961</v>
      </c>
      <c r="AC33" s="35"/>
      <c r="AD33" s="35">
        <v>816384</v>
      </c>
      <c r="AE33" s="35"/>
      <c r="AF33" s="35">
        <f t="shared" si="3"/>
        <v>85211</v>
      </c>
      <c r="AG33" s="35"/>
      <c r="AH33" s="35">
        <v>-463103</v>
      </c>
      <c r="AI33" s="35"/>
      <c r="AJ33" s="35">
        <v>0</v>
      </c>
      <c r="AK33" s="35"/>
      <c r="AL33" s="35">
        <v>0</v>
      </c>
      <c r="AM33" s="35"/>
      <c r="AN33" s="35">
        <v>331248</v>
      </c>
      <c r="AO33" s="35"/>
      <c r="AP33" s="35">
        <f t="shared" si="4"/>
        <v>-46644</v>
      </c>
      <c r="AQ33" s="35"/>
      <c r="AR33" s="35">
        <v>0</v>
      </c>
      <c r="AS33" s="35"/>
      <c r="AT33" s="35">
        <v>0</v>
      </c>
      <c r="AU33" s="35"/>
      <c r="AV33" s="35">
        <f t="shared" si="5"/>
        <v>2358539</v>
      </c>
      <c r="AW33" s="35"/>
      <c r="AX33" s="23" t="s">
        <v>30</v>
      </c>
      <c r="AY33" s="35"/>
      <c r="AZ33" s="35">
        <v>9856467</v>
      </c>
      <c r="BA33" s="35"/>
      <c r="BB33" s="35">
        <v>0</v>
      </c>
      <c r="BC33" s="35"/>
      <c r="BD33" s="35">
        <v>0</v>
      </c>
      <c r="BE33" s="35"/>
      <c r="BF33" s="35">
        <f>31116+8783</f>
        <v>39899</v>
      </c>
      <c r="BG33" s="35"/>
      <c r="BH33" s="35"/>
      <c r="BI33" s="35"/>
      <c r="BJ33" s="17">
        <f t="shared" si="6"/>
        <v>9896366</v>
      </c>
    </row>
    <row r="34" spans="1:62" s="36" customFormat="1" ht="12" hidden="1">
      <c r="A34" s="23" t="s">
        <v>239</v>
      </c>
      <c r="B34" s="23"/>
      <c r="C34" s="35">
        <f t="shared" si="1"/>
        <v>0</v>
      </c>
      <c r="D34" s="35"/>
      <c r="E34" s="35">
        <v>0</v>
      </c>
      <c r="F34" s="35"/>
      <c r="G34" s="35">
        <v>0</v>
      </c>
      <c r="H34" s="35"/>
      <c r="I34" s="35">
        <f t="shared" si="9"/>
        <v>0</v>
      </c>
      <c r="J34" s="35"/>
      <c r="K34" s="35">
        <f t="shared" si="0"/>
        <v>0</v>
      </c>
      <c r="L34" s="35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f t="shared" si="2"/>
        <v>0</v>
      </c>
      <c r="V34" s="35">
        <f t="shared" si="10"/>
        <v>0</v>
      </c>
      <c r="W34" s="35"/>
      <c r="X34" s="23" t="s">
        <v>239</v>
      </c>
      <c r="Y34" s="35"/>
      <c r="Z34" s="35">
        <v>0</v>
      </c>
      <c r="AA34" s="35"/>
      <c r="AB34" s="35">
        <v>0</v>
      </c>
      <c r="AC34" s="35"/>
      <c r="AD34" s="35">
        <v>0</v>
      </c>
      <c r="AE34" s="35"/>
      <c r="AF34" s="35">
        <f t="shared" si="3"/>
        <v>0</v>
      </c>
      <c r="AG34" s="35"/>
      <c r="AH34" s="35">
        <v>0</v>
      </c>
      <c r="AI34" s="35"/>
      <c r="AJ34" s="35">
        <v>0</v>
      </c>
      <c r="AK34" s="35"/>
      <c r="AL34" s="35">
        <v>0</v>
      </c>
      <c r="AM34" s="35"/>
      <c r="AN34" s="35">
        <v>0</v>
      </c>
      <c r="AO34" s="35"/>
      <c r="AP34" s="35">
        <f t="shared" si="4"/>
        <v>0</v>
      </c>
      <c r="AQ34" s="35"/>
      <c r="AR34" s="35">
        <v>0</v>
      </c>
      <c r="AS34" s="35"/>
      <c r="AT34" s="35">
        <v>0</v>
      </c>
      <c r="AU34" s="35"/>
      <c r="AV34" s="35">
        <f t="shared" si="5"/>
        <v>0</v>
      </c>
      <c r="AW34" s="35"/>
      <c r="AX34" s="23" t="s">
        <v>239</v>
      </c>
      <c r="AY34" s="35"/>
      <c r="AZ34" s="35">
        <v>0</v>
      </c>
      <c r="BA34" s="35"/>
      <c r="BB34" s="35">
        <v>0</v>
      </c>
      <c r="BC34" s="35"/>
      <c r="BD34" s="35">
        <v>0</v>
      </c>
      <c r="BE34" s="35"/>
      <c r="BF34" s="35">
        <v>0</v>
      </c>
      <c r="BG34" s="35"/>
      <c r="BH34" s="35"/>
      <c r="BI34" s="35"/>
      <c r="BJ34" s="17">
        <f t="shared" si="6"/>
        <v>0</v>
      </c>
    </row>
    <row r="35" spans="1:62" s="36" customFormat="1" ht="12" hidden="1">
      <c r="A35" s="23" t="s">
        <v>32</v>
      </c>
      <c r="B35" s="23"/>
      <c r="C35" s="35">
        <f t="shared" si="1"/>
        <v>0</v>
      </c>
      <c r="D35" s="35"/>
      <c r="E35" s="35">
        <v>0</v>
      </c>
      <c r="F35" s="35"/>
      <c r="G35" s="35">
        <v>0</v>
      </c>
      <c r="H35" s="35"/>
      <c r="I35" s="35">
        <f t="shared" si="9"/>
        <v>0</v>
      </c>
      <c r="J35" s="35"/>
      <c r="K35" s="35">
        <f t="shared" si="0"/>
        <v>0</v>
      </c>
      <c r="L35" s="35"/>
      <c r="M35" s="35">
        <v>0</v>
      </c>
      <c r="N35" s="35"/>
      <c r="O35" s="35">
        <v>0</v>
      </c>
      <c r="P35" s="35"/>
      <c r="Q35" s="35">
        <v>0</v>
      </c>
      <c r="R35" s="35"/>
      <c r="S35" s="35">
        <v>0</v>
      </c>
      <c r="T35" s="35"/>
      <c r="U35" s="35">
        <f t="shared" si="2"/>
        <v>0</v>
      </c>
      <c r="V35" s="35">
        <f t="shared" si="10"/>
        <v>0</v>
      </c>
      <c r="W35" s="35"/>
      <c r="X35" s="23" t="s">
        <v>32</v>
      </c>
      <c r="Y35" s="35"/>
      <c r="Z35" s="35">
        <v>0</v>
      </c>
      <c r="AA35" s="35"/>
      <c r="AB35" s="35">
        <v>0</v>
      </c>
      <c r="AC35" s="35"/>
      <c r="AD35" s="35">
        <v>0</v>
      </c>
      <c r="AE35" s="35"/>
      <c r="AF35" s="35">
        <f t="shared" si="3"/>
        <v>0</v>
      </c>
      <c r="AG35" s="35"/>
      <c r="AH35" s="35">
        <v>0</v>
      </c>
      <c r="AI35" s="35"/>
      <c r="AJ35" s="35">
        <v>0</v>
      </c>
      <c r="AK35" s="35"/>
      <c r="AL35" s="35">
        <v>0</v>
      </c>
      <c r="AM35" s="35"/>
      <c r="AN35" s="35">
        <v>0</v>
      </c>
      <c r="AO35" s="35"/>
      <c r="AP35" s="35">
        <f t="shared" si="4"/>
        <v>0</v>
      </c>
      <c r="AQ35" s="35"/>
      <c r="AR35" s="35">
        <v>0</v>
      </c>
      <c r="AS35" s="35"/>
      <c r="AT35" s="35">
        <v>0</v>
      </c>
      <c r="AU35" s="35"/>
      <c r="AV35" s="35">
        <f t="shared" si="5"/>
        <v>0</v>
      </c>
      <c r="AW35" s="35"/>
      <c r="AX35" s="23" t="s">
        <v>32</v>
      </c>
      <c r="AY35" s="35"/>
      <c r="AZ35" s="35">
        <v>0</v>
      </c>
      <c r="BA35" s="35"/>
      <c r="BB35" s="35">
        <v>0</v>
      </c>
      <c r="BC35" s="35"/>
      <c r="BD35" s="35">
        <v>0</v>
      </c>
      <c r="BE35" s="35"/>
      <c r="BF35" s="35">
        <v>0</v>
      </c>
      <c r="BG35" s="35"/>
      <c r="BH35" s="35"/>
      <c r="BI35" s="35"/>
      <c r="BJ35" s="17">
        <f t="shared" si="6"/>
        <v>0</v>
      </c>
    </row>
    <row r="36" spans="1:62" s="36" customFormat="1" ht="12">
      <c r="A36" s="23" t="s">
        <v>33</v>
      </c>
      <c r="B36" s="23"/>
      <c r="C36" s="35">
        <f t="shared" si="1"/>
        <v>2282365</v>
      </c>
      <c r="D36" s="35"/>
      <c r="E36" s="35">
        <v>14754722</v>
      </c>
      <c r="F36" s="35"/>
      <c r="G36" s="35">
        <v>17037087</v>
      </c>
      <c r="H36" s="35"/>
      <c r="I36" s="35">
        <f>+M36-K36</f>
        <v>1089437</v>
      </c>
      <c r="J36" s="35"/>
      <c r="K36" s="35">
        <f>SUM(BJ36)</f>
        <v>4945334</v>
      </c>
      <c r="L36" s="35"/>
      <c r="M36" s="35">
        <v>6034771</v>
      </c>
      <c r="N36" s="35"/>
      <c r="O36" s="35">
        <v>8871301</v>
      </c>
      <c r="P36" s="35"/>
      <c r="Q36" s="35">
        <v>0</v>
      </c>
      <c r="R36" s="35"/>
      <c r="S36" s="35">
        <v>2131015</v>
      </c>
      <c r="T36" s="35"/>
      <c r="U36" s="35">
        <f t="shared" si="2"/>
        <v>11002316</v>
      </c>
      <c r="V36" s="35">
        <f t="shared" si="10"/>
        <v>0</v>
      </c>
      <c r="W36" s="35"/>
      <c r="X36" s="23" t="s">
        <v>33</v>
      </c>
      <c r="Y36" s="35"/>
      <c r="Z36" s="35">
        <v>1892998</v>
      </c>
      <c r="AA36" s="35"/>
      <c r="AB36" s="35">
        <f>102630+1592103+681+2480+31162</f>
        <v>1729056</v>
      </c>
      <c r="AC36" s="35"/>
      <c r="AD36" s="35">
        <v>386607</v>
      </c>
      <c r="AE36" s="35"/>
      <c r="AF36" s="35">
        <f t="shared" si="3"/>
        <v>-222665</v>
      </c>
      <c r="AG36" s="35"/>
      <c r="AH36" s="35">
        <v>-281209</v>
      </c>
      <c r="AI36" s="35"/>
      <c r="AJ36" s="35">
        <v>3998</v>
      </c>
      <c r="AK36" s="35"/>
      <c r="AL36" s="35">
        <v>0</v>
      </c>
      <c r="AM36" s="35"/>
      <c r="AN36" s="35">
        <v>1155164</v>
      </c>
      <c r="AO36" s="35"/>
      <c r="AP36" s="35">
        <f t="shared" si="4"/>
        <v>655288</v>
      </c>
      <c r="AQ36" s="35"/>
      <c r="AR36" s="35">
        <v>0</v>
      </c>
      <c r="AS36" s="35"/>
      <c r="AT36" s="35">
        <v>0</v>
      </c>
      <c r="AU36" s="35"/>
      <c r="AV36" s="35">
        <f t="shared" si="5"/>
        <v>1192928</v>
      </c>
      <c r="AW36" s="35"/>
      <c r="AX36" s="23" t="s">
        <v>33</v>
      </c>
      <c r="AY36" s="35"/>
      <c r="AZ36" s="35">
        <v>0</v>
      </c>
      <c r="BA36" s="35"/>
      <c r="BB36" s="35">
        <v>0</v>
      </c>
      <c r="BC36" s="35"/>
      <c r="BD36" s="35">
        <f>252430+4557812</f>
        <v>4810242</v>
      </c>
      <c r="BE36" s="35"/>
      <c r="BF36" s="35">
        <f>133553+1539</f>
        <v>135092</v>
      </c>
      <c r="BG36" s="35"/>
      <c r="BH36" s="35"/>
      <c r="BI36" s="35"/>
      <c r="BJ36" s="17">
        <f t="shared" si="6"/>
        <v>4945334</v>
      </c>
    </row>
    <row r="37" spans="1:62" s="36" customFormat="1" ht="12" hidden="1">
      <c r="A37" s="23" t="s">
        <v>34</v>
      </c>
      <c r="B37" s="23"/>
      <c r="C37" s="35">
        <f t="shared" si="1"/>
        <v>0</v>
      </c>
      <c r="D37" s="35"/>
      <c r="E37" s="35">
        <v>0</v>
      </c>
      <c r="F37" s="35"/>
      <c r="G37" s="35">
        <v>0</v>
      </c>
      <c r="H37" s="35"/>
      <c r="I37" s="35">
        <f t="shared" si="9"/>
        <v>0</v>
      </c>
      <c r="J37" s="35"/>
      <c r="K37" s="35">
        <f t="shared" si="0"/>
        <v>0</v>
      </c>
      <c r="L37" s="35"/>
      <c r="M37" s="35">
        <v>0</v>
      </c>
      <c r="N37" s="35"/>
      <c r="O37" s="35">
        <v>0</v>
      </c>
      <c r="P37" s="35"/>
      <c r="Q37" s="35">
        <v>0</v>
      </c>
      <c r="R37" s="35"/>
      <c r="S37" s="35">
        <v>0</v>
      </c>
      <c r="T37" s="35"/>
      <c r="U37" s="35">
        <f t="shared" si="2"/>
        <v>0</v>
      </c>
      <c r="V37" s="35">
        <f t="shared" si="10"/>
        <v>0</v>
      </c>
      <c r="W37" s="35"/>
      <c r="X37" s="23" t="s">
        <v>34</v>
      </c>
      <c r="Y37" s="35"/>
      <c r="Z37" s="35">
        <v>0</v>
      </c>
      <c r="AA37" s="35"/>
      <c r="AB37" s="35">
        <v>0</v>
      </c>
      <c r="AC37" s="35"/>
      <c r="AD37" s="35">
        <v>0</v>
      </c>
      <c r="AE37" s="35"/>
      <c r="AF37" s="35">
        <f t="shared" si="3"/>
        <v>0</v>
      </c>
      <c r="AG37" s="35"/>
      <c r="AH37" s="35">
        <v>0</v>
      </c>
      <c r="AI37" s="35"/>
      <c r="AJ37" s="35">
        <v>0</v>
      </c>
      <c r="AK37" s="35"/>
      <c r="AL37" s="35">
        <v>0</v>
      </c>
      <c r="AM37" s="35"/>
      <c r="AN37" s="35">
        <v>0</v>
      </c>
      <c r="AO37" s="35"/>
      <c r="AP37" s="35">
        <f t="shared" si="4"/>
        <v>0</v>
      </c>
      <c r="AQ37" s="35"/>
      <c r="AR37" s="35">
        <v>0</v>
      </c>
      <c r="AS37" s="35"/>
      <c r="AT37" s="35">
        <v>0</v>
      </c>
      <c r="AU37" s="35"/>
      <c r="AV37" s="35">
        <f t="shared" si="5"/>
        <v>0</v>
      </c>
      <c r="AW37" s="35"/>
      <c r="AX37" s="23" t="s">
        <v>34</v>
      </c>
      <c r="AY37" s="35"/>
      <c r="AZ37" s="35">
        <v>0</v>
      </c>
      <c r="BA37" s="35"/>
      <c r="BB37" s="35">
        <v>0</v>
      </c>
      <c r="BC37" s="35"/>
      <c r="BD37" s="35">
        <v>0</v>
      </c>
      <c r="BE37" s="35"/>
      <c r="BF37" s="35">
        <v>0</v>
      </c>
      <c r="BG37" s="35"/>
      <c r="BH37" s="35"/>
      <c r="BI37" s="35"/>
      <c r="BJ37" s="17">
        <f t="shared" si="6"/>
        <v>0</v>
      </c>
    </row>
    <row r="38" spans="1:62" s="36" customFormat="1" ht="12">
      <c r="A38" s="23" t="s">
        <v>35</v>
      </c>
      <c r="B38" s="23"/>
      <c r="C38" s="35">
        <f t="shared" si="1"/>
        <v>5198503</v>
      </c>
      <c r="D38" s="35"/>
      <c r="E38" s="35">
        <v>22805161</v>
      </c>
      <c r="F38" s="35"/>
      <c r="G38" s="35">
        <v>28003664</v>
      </c>
      <c r="H38" s="35"/>
      <c r="I38" s="35">
        <f t="shared" si="9"/>
        <v>781478</v>
      </c>
      <c r="J38" s="35"/>
      <c r="K38" s="35">
        <f t="shared" si="0"/>
        <v>18501190</v>
      </c>
      <c r="L38" s="35"/>
      <c r="M38" s="35">
        <v>19282668</v>
      </c>
      <c r="N38" s="35"/>
      <c r="O38" s="35">
        <v>4139092</v>
      </c>
      <c r="P38" s="35"/>
      <c r="Q38" s="35">
        <v>0</v>
      </c>
      <c r="R38" s="35"/>
      <c r="S38" s="35">
        <v>4581904</v>
      </c>
      <c r="T38" s="35"/>
      <c r="U38" s="35">
        <f t="shared" si="2"/>
        <v>8720996</v>
      </c>
      <c r="V38" s="35">
        <f t="shared" si="10"/>
        <v>0</v>
      </c>
      <c r="W38" s="35"/>
      <c r="X38" s="23" t="s">
        <v>35</v>
      </c>
      <c r="Y38" s="35"/>
      <c r="Z38" s="35">
        <v>6491616</v>
      </c>
      <c r="AA38" s="35"/>
      <c r="AB38" s="35">
        <f>2140675+436680+6316097+846473</f>
        <v>9739925</v>
      </c>
      <c r="AC38" s="35"/>
      <c r="AD38" s="35">
        <v>1228704</v>
      </c>
      <c r="AE38" s="35"/>
      <c r="AF38" s="35">
        <f t="shared" si="3"/>
        <v>-4477013</v>
      </c>
      <c r="AG38" s="35"/>
      <c r="AH38" s="35">
        <v>1020682</v>
      </c>
      <c r="AI38" s="35"/>
      <c r="AJ38" s="35">
        <v>88689</v>
      </c>
      <c r="AK38" s="35"/>
      <c r="AL38" s="35">
        <v>33153</v>
      </c>
      <c r="AM38" s="35"/>
      <c r="AN38" s="35">
        <v>815298</v>
      </c>
      <c r="AO38" s="35"/>
      <c r="AP38" s="35">
        <f t="shared" si="4"/>
        <v>-2585497</v>
      </c>
      <c r="AQ38" s="35"/>
      <c r="AR38" s="35">
        <v>0</v>
      </c>
      <c r="AS38" s="35"/>
      <c r="AT38" s="35">
        <v>0</v>
      </c>
      <c r="AU38" s="35"/>
      <c r="AV38" s="35">
        <f t="shared" si="5"/>
        <v>4417025</v>
      </c>
      <c r="AW38" s="35"/>
      <c r="AX38" s="23" t="s">
        <v>35</v>
      </c>
      <c r="AY38" s="35"/>
      <c r="AZ38" s="35">
        <v>0</v>
      </c>
      <c r="BA38" s="35"/>
      <c r="BB38" s="35">
        <v>129000</v>
      </c>
      <c r="BC38" s="35"/>
      <c r="BD38" s="35">
        <f>17904650+288751</f>
        <v>18193401</v>
      </c>
      <c r="BE38" s="35"/>
      <c r="BF38" s="35">
        <f>166855+11934</f>
        <v>178789</v>
      </c>
      <c r="BG38" s="35"/>
      <c r="BH38" s="35"/>
      <c r="BI38" s="35"/>
      <c r="BJ38" s="17">
        <f t="shared" si="6"/>
        <v>18501190</v>
      </c>
    </row>
    <row r="39" spans="1:62" s="36" customFormat="1" ht="12">
      <c r="A39" s="23" t="s">
        <v>182</v>
      </c>
      <c r="B39" s="23"/>
      <c r="C39" s="35">
        <f t="shared" si="1"/>
        <v>13950997</v>
      </c>
      <c r="D39" s="35"/>
      <c r="E39" s="35">
        <v>70281324</v>
      </c>
      <c r="F39" s="35"/>
      <c r="G39" s="35">
        <v>84232321</v>
      </c>
      <c r="H39" s="35"/>
      <c r="I39" s="35">
        <f>+M39-K39</f>
        <v>9380359</v>
      </c>
      <c r="J39" s="35"/>
      <c r="K39" s="35">
        <f t="shared" si="0"/>
        <v>33842884</v>
      </c>
      <c r="L39" s="35"/>
      <c r="M39" s="35">
        <v>43223243</v>
      </c>
      <c r="N39" s="35"/>
      <c r="O39" s="35">
        <v>28697729</v>
      </c>
      <c r="P39" s="35"/>
      <c r="Q39" s="35">
        <v>821593</v>
      </c>
      <c r="R39" s="35"/>
      <c r="S39" s="35">
        <v>11489756</v>
      </c>
      <c r="T39" s="35"/>
      <c r="U39" s="35">
        <f t="shared" si="2"/>
        <v>41009078</v>
      </c>
      <c r="V39" s="35">
        <f t="shared" si="10"/>
        <v>0</v>
      </c>
      <c r="W39" s="35"/>
      <c r="X39" s="23" t="s">
        <v>182</v>
      </c>
      <c r="Y39" s="35"/>
      <c r="Z39" s="35">
        <v>9596158</v>
      </c>
      <c r="AA39" s="35"/>
      <c r="AB39" s="35">
        <f>2471228+1390629+561560+402382</f>
        <v>4825799</v>
      </c>
      <c r="AC39" s="35"/>
      <c r="AD39" s="35">
        <v>1843085</v>
      </c>
      <c r="AE39" s="35"/>
      <c r="AF39" s="35">
        <f t="shared" si="3"/>
        <v>2927274</v>
      </c>
      <c r="AG39" s="35"/>
      <c r="AH39" s="35">
        <v>-1557941</v>
      </c>
      <c r="AI39" s="35"/>
      <c r="AJ39" s="35">
        <v>143153</v>
      </c>
      <c r="AK39" s="35"/>
      <c r="AL39" s="35">
        <v>5137</v>
      </c>
      <c r="AM39" s="35"/>
      <c r="AN39" s="35">
        <v>1710987</v>
      </c>
      <c r="AO39" s="35"/>
      <c r="AP39" s="35">
        <f t="shared" si="4"/>
        <v>3218336</v>
      </c>
      <c r="AQ39" s="35"/>
      <c r="AR39" s="35">
        <v>0</v>
      </c>
      <c r="AS39" s="35"/>
      <c r="AT39" s="35">
        <v>0</v>
      </c>
      <c r="AU39" s="35"/>
      <c r="AV39" s="35">
        <f t="shared" si="5"/>
        <v>4570638</v>
      </c>
      <c r="AW39" s="35"/>
      <c r="AX39" s="23" t="s">
        <v>182</v>
      </c>
      <c r="AY39" s="35"/>
      <c r="AZ39" s="35">
        <f>4270000+23440207</f>
        <v>27710207</v>
      </c>
      <c r="BA39" s="35"/>
      <c r="BB39" s="35">
        <v>1580000</v>
      </c>
      <c r="BC39" s="35"/>
      <c r="BD39" s="35">
        <f>885347</f>
        <v>885347</v>
      </c>
      <c r="BE39" s="35"/>
      <c r="BF39" s="35">
        <f>1090330+2577000</f>
        <v>3667330</v>
      </c>
      <c r="BG39" s="35"/>
      <c r="BH39" s="35"/>
      <c r="BI39" s="35"/>
      <c r="BJ39" s="17">
        <f t="shared" si="6"/>
        <v>33842884</v>
      </c>
    </row>
    <row r="40" spans="1:62" s="36" customFormat="1" ht="12" hidden="1">
      <c r="A40" s="23" t="s">
        <v>244</v>
      </c>
      <c r="B40" s="23"/>
      <c r="C40" s="35">
        <f t="shared" si="1"/>
        <v>0</v>
      </c>
      <c r="D40" s="35"/>
      <c r="E40" s="35"/>
      <c r="F40" s="35"/>
      <c r="G40" s="35"/>
      <c r="H40" s="35"/>
      <c r="I40" s="35">
        <f t="shared" si="9"/>
        <v>0</v>
      </c>
      <c r="J40" s="35"/>
      <c r="K40" s="35">
        <f t="shared" si="0"/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>
        <f t="shared" si="2"/>
        <v>0</v>
      </c>
      <c r="V40" s="35">
        <f t="shared" si="10"/>
        <v>0</v>
      </c>
      <c r="W40" s="35"/>
      <c r="X40" s="23" t="s">
        <v>36</v>
      </c>
      <c r="Y40" s="35"/>
      <c r="Z40" s="35"/>
      <c r="AA40" s="35"/>
      <c r="AB40" s="35"/>
      <c r="AC40" s="35"/>
      <c r="AD40" s="35"/>
      <c r="AE40" s="35"/>
      <c r="AF40" s="35">
        <f t="shared" si="3"/>
        <v>0</v>
      </c>
      <c r="AG40" s="35"/>
      <c r="AH40" s="35"/>
      <c r="AI40" s="35"/>
      <c r="AJ40" s="35"/>
      <c r="AK40" s="35"/>
      <c r="AL40" s="35"/>
      <c r="AM40" s="35"/>
      <c r="AN40" s="35"/>
      <c r="AO40" s="35"/>
      <c r="AP40" s="35">
        <f t="shared" si="4"/>
        <v>0</v>
      </c>
      <c r="AQ40" s="35"/>
      <c r="AR40" s="35">
        <v>0</v>
      </c>
      <c r="AS40" s="35"/>
      <c r="AT40" s="35">
        <v>0</v>
      </c>
      <c r="AU40" s="35"/>
      <c r="AV40" s="35">
        <f t="shared" si="5"/>
        <v>0</v>
      </c>
      <c r="AW40" s="35"/>
      <c r="AX40" s="23" t="s">
        <v>36</v>
      </c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17">
        <f t="shared" si="6"/>
        <v>0</v>
      </c>
    </row>
    <row r="41" spans="1:62" s="36" customFormat="1" ht="12" hidden="1">
      <c r="A41" s="23" t="s">
        <v>245</v>
      </c>
      <c r="B41" s="23"/>
      <c r="C41" s="35">
        <f t="shared" si="1"/>
        <v>0</v>
      </c>
      <c r="D41" s="35"/>
      <c r="E41" s="35">
        <v>0</v>
      </c>
      <c r="F41" s="35"/>
      <c r="G41" s="35">
        <v>0</v>
      </c>
      <c r="H41" s="35"/>
      <c r="I41" s="35">
        <f t="shared" si="9"/>
        <v>0</v>
      </c>
      <c r="J41" s="35"/>
      <c r="K41" s="35">
        <f t="shared" si="0"/>
        <v>0</v>
      </c>
      <c r="L41" s="35"/>
      <c r="M41" s="35">
        <v>0</v>
      </c>
      <c r="N41" s="35"/>
      <c r="O41" s="35">
        <v>0</v>
      </c>
      <c r="P41" s="35"/>
      <c r="Q41" s="35">
        <v>0</v>
      </c>
      <c r="R41" s="35"/>
      <c r="S41" s="35">
        <v>0</v>
      </c>
      <c r="T41" s="35"/>
      <c r="U41" s="35">
        <f t="shared" si="2"/>
        <v>0</v>
      </c>
      <c r="V41" s="35">
        <f t="shared" si="10"/>
        <v>0</v>
      </c>
      <c r="W41" s="35"/>
      <c r="X41" s="23" t="s">
        <v>37</v>
      </c>
      <c r="Y41" s="35"/>
      <c r="Z41" s="35">
        <v>0</v>
      </c>
      <c r="AA41" s="35"/>
      <c r="AB41" s="35">
        <v>0</v>
      </c>
      <c r="AC41" s="35"/>
      <c r="AD41" s="35">
        <v>0</v>
      </c>
      <c r="AE41" s="35"/>
      <c r="AF41" s="35">
        <f t="shared" si="3"/>
        <v>0</v>
      </c>
      <c r="AG41" s="35"/>
      <c r="AH41" s="35">
        <v>0</v>
      </c>
      <c r="AI41" s="35"/>
      <c r="AJ41" s="35">
        <v>0</v>
      </c>
      <c r="AK41" s="35"/>
      <c r="AL41" s="35">
        <v>0</v>
      </c>
      <c r="AM41" s="35"/>
      <c r="AN41" s="35">
        <v>0</v>
      </c>
      <c r="AO41" s="35"/>
      <c r="AP41" s="35">
        <f t="shared" si="4"/>
        <v>0</v>
      </c>
      <c r="AQ41" s="35"/>
      <c r="AR41" s="35">
        <v>0</v>
      </c>
      <c r="AS41" s="35"/>
      <c r="AT41" s="35">
        <v>0</v>
      </c>
      <c r="AU41" s="35"/>
      <c r="AV41" s="35">
        <f t="shared" si="5"/>
        <v>0</v>
      </c>
      <c r="AW41" s="35"/>
      <c r="AX41" s="23" t="s">
        <v>37</v>
      </c>
      <c r="AY41" s="35"/>
      <c r="AZ41" s="35">
        <v>0</v>
      </c>
      <c r="BA41" s="35"/>
      <c r="BB41" s="35">
        <v>0</v>
      </c>
      <c r="BC41" s="35"/>
      <c r="BD41" s="35">
        <v>0</v>
      </c>
      <c r="BE41" s="35"/>
      <c r="BF41" s="35">
        <v>0</v>
      </c>
      <c r="BG41" s="35"/>
      <c r="BH41" s="35"/>
      <c r="BI41" s="35"/>
      <c r="BJ41" s="17">
        <f t="shared" si="6"/>
        <v>0</v>
      </c>
    </row>
    <row r="42" spans="1:62" s="36" customFormat="1" ht="12" hidden="1">
      <c r="A42" s="23" t="s">
        <v>38</v>
      </c>
      <c r="B42" s="23"/>
      <c r="C42" s="35">
        <f t="shared" si="1"/>
        <v>0</v>
      </c>
      <c r="D42" s="35"/>
      <c r="E42" s="35">
        <v>0</v>
      </c>
      <c r="F42" s="35"/>
      <c r="G42" s="35">
        <v>0</v>
      </c>
      <c r="H42" s="35"/>
      <c r="I42" s="35">
        <f t="shared" si="9"/>
        <v>0</v>
      </c>
      <c r="J42" s="35"/>
      <c r="K42" s="35">
        <f t="shared" si="0"/>
        <v>0</v>
      </c>
      <c r="L42" s="35"/>
      <c r="M42" s="35">
        <v>0</v>
      </c>
      <c r="N42" s="35"/>
      <c r="O42" s="35">
        <v>0</v>
      </c>
      <c r="P42" s="35"/>
      <c r="Q42" s="35">
        <v>0</v>
      </c>
      <c r="R42" s="35"/>
      <c r="S42" s="35">
        <v>0</v>
      </c>
      <c r="T42" s="35"/>
      <c r="U42" s="35">
        <f t="shared" si="2"/>
        <v>0</v>
      </c>
      <c r="V42" s="35">
        <f t="shared" si="10"/>
        <v>0</v>
      </c>
      <c r="W42" s="35"/>
      <c r="X42" s="23" t="s">
        <v>38</v>
      </c>
      <c r="Y42" s="35"/>
      <c r="Z42" s="35">
        <v>0</v>
      </c>
      <c r="AA42" s="35"/>
      <c r="AB42" s="35">
        <v>0</v>
      </c>
      <c r="AC42" s="35"/>
      <c r="AD42" s="35">
        <v>0</v>
      </c>
      <c r="AE42" s="35"/>
      <c r="AF42" s="35">
        <f t="shared" si="3"/>
        <v>0</v>
      </c>
      <c r="AG42" s="35"/>
      <c r="AH42" s="35">
        <v>0</v>
      </c>
      <c r="AI42" s="35"/>
      <c r="AJ42" s="35">
        <v>0</v>
      </c>
      <c r="AK42" s="35"/>
      <c r="AL42" s="35">
        <v>0</v>
      </c>
      <c r="AM42" s="35"/>
      <c r="AN42" s="35">
        <v>0</v>
      </c>
      <c r="AO42" s="35"/>
      <c r="AP42" s="35">
        <f t="shared" si="4"/>
        <v>0</v>
      </c>
      <c r="AQ42" s="35"/>
      <c r="AR42" s="35">
        <v>0</v>
      </c>
      <c r="AS42" s="35"/>
      <c r="AT42" s="35">
        <v>0</v>
      </c>
      <c r="AU42" s="35"/>
      <c r="AV42" s="35">
        <f t="shared" si="5"/>
        <v>0</v>
      </c>
      <c r="AW42" s="35"/>
      <c r="AX42" s="23" t="s">
        <v>38</v>
      </c>
      <c r="AY42" s="35"/>
      <c r="AZ42" s="35">
        <v>0</v>
      </c>
      <c r="BA42" s="35"/>
      <c r="BB42" s="35">
        <v>0</v>
      </c>
      <c r="BC42" s="35"/>
      <c r="BD42" s="35">
        <v>0</v>
      </c>
      <c r="BE42" s="35"/>
      <c r="BF42" s="35">
        <v>0</v>
      </c>
      <c r="BG42" s="35"/>
      <c r="BH42" s="35"/>
      <c r="BI42" s="35"/>
      <c r="BJ42" s="17">
        <f t="shared" si="6"/>
        <v>0</v>
      </c>
    </row>
    <row r="43" spans="1:62" s="36" customFormat="1" ht="12" hidden="1">
      <c r="A43" s="23" t="s">
        <v>168</v>
      </c>
      <c r="B43" s="23"/>
      <c r="C43" s="35">
        <f t="shared" si="1"/>
        <v>0</v>
      </c>
      <c r="D43" s="35"/>
      <c r="E43" s="35">
        <v>0</v>
      </c>
      <c r="F43" s="35"/>
      <c r="G43" s="35">
        <v>0</v>
      </c>
      <c r="H43" s="35"/>
      <c r="I43" s="35">
        <f t="shared" si="9"/>
        <v>0</v>
      </c>
      <c r="J43" s="35"/>
      <c r="K43" s="35">
        <f t="shared" si="0"/>
        <v>0</v>
      </c>
      <c r="L43" s="35"/>
      <c r="M43" s="35">
        <v>0</v>
      </c>
      <c r="N43" s="35"/>
      <c r="O43" s="35">
        <v>0</v>
      </c>
      <c r="P43" s="35"/>
      <c r="Q43" s="35">
        <v>0</v>
      </c>
      <c r="R43" s="35"/>
      <c r="S43" s="35">
        <v>0</v>
      </c>
      <c r="T43" s="35"/>
      <c r="U43" s="35">
        <f t="shared" si="2"/>
        <v>0</v>
      </c>
      <c r="V43" s="35">
        <f t="shared" si="10"/>
        <v>0</v>
      </c>
      <c r="W43" s="35"/>
      <c r="X43" s="23" t="s">
        <v>168</v>
      </c>
      <c r="Y43" s="35"/>
      <c r="Z43" s="35">
        <v>0</v>
      </c>
      <c r="AA43" s="35"/>
      <c r="AB43" s="35">
        <v>0</v>
      </c>
      <c r="AC43" s="35"/>
      <c r="AD43" s="35">
        <v>0</v>
      </c>
      <c r="AE43" s="35"/>
      <c r="AF43" s="35">
        <f t="shared" si="3"/>
        <v>0</v>
      </c>
      <c r="AG43" s="35"/>
      <c r="AH43" s="35">
        <v>0</v>
      </c>
      <c r="AI43" s="35"/>
      <c r="AJ43" s="35">
        <v>0</v>
      </c>
      <c r="AK43" s="35"/>
      <c r="AL43" s="35">
        <v>0</v>
      </c>
      <c r="AM43" s="35"/>
      <c r="AN43" s="35">
        <v>0</v>
      </c>
      <c r="AO43" s="35"/>
      <c r="AP43" s="35">
        <f t="shared" si="4"/>
        <v>0</v>
      </c>
      <c r="AQ43" s="35"/>
      <c r="AR43" s="35">
        <v>0</v>
      </c>
      <c r="AS43" s="35"/>
      <c r="AT43" s="35">
        <v>0</v>
      </c>
      <c r="AU43" s="35"/>
      <c r="AV43" s="35">
        <f t="shared" si="5"/>
        <v>0</v>
      </c>
      <c r="AW43" s="35"/>
      <c r="AX43" s="23" t="s">
        <v>168</v>
      </c>
      <c r="AY43" s="35"/>
      <c r="AZ43" s="35">
        <v>0</v>
      </c>
      <c r="BA43" s="35"/>
      <c r="BB43" s="35">
        <v>0</v>
      </c>
      <c r="BC43" s="35"/>
      <c r="BD43" s="35">
        <v>0</v>
      </c>
      <c r="BE43" s="35"/>
      <c r="BF43" s="35">
        <v>0</v>
      </c>
      <c r="BG43" s="35"/>
      <c r="BH43" s="35"/>
      <c r="BI43" s="35"/>
      <c r="BJ43" s="17">
        <f t="shared" si="6"/>
        <v>0</v>
      </c>
    </row>
    <row r="44" spans="1:62" s="36" customFormat="1" ht="12" hidden="1">
      <c r="A44" s="23" t="s">
        <v>39</v>
      </c>
      <c r="B44" s="23"/>
      <c r="C44" s="35">
        <f t="shared" si="1"/>
        <v>0</v>
      </c>
      <c r="D44" s="35"/>
      <c r="E44" s="35">
        <v>0</v>
      </c>
      <c r="F44" s="35"/>
      <c r="G44" s="35">
        <v>0</v>
      </c>
      <c r="H44" s="35"/>
      <c r="I44" s="35">
        <f t="shared" si="9"/>
        <v>0</v>
      </c>
      <c r="J44" s="35"/>
      <c r="K44" s="35">
        <f aca="true" t="shared" si="11" ref="K44:K97">SUM(BJ44)</f>
        <v>0</v>
      </c>
      <c r="L44" s="35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5">
        <f t="shared" si="2"/>
        <v>0</v>
      </c>
      <c r="V44" s="35">
        <f t="shared" si="10"/>
        <v>0</v>
      </c>
      <c r="W44" s="35"/>
      <c r="X44" s="23" t="s">
        <v>39</v>
      </c>
      <c r="Y44" s="35"/>
      <c r="Z44" s="35">
        <v>0</v>
      </c>
      <c r="AA44" s="35"/>
      <c r="AB44" s="35">
        <v>0</v>
      </c>
      <c r="AC44" s="35"/>
      <c r="AD44" s="35">
        <v>0</v>
      </c>
      <c r="AE44" s="35"/>
      <c r="AF44" s="35">
        <f t="shared" si="3"/>
        <v>0</v>
      </c>
      <c r="AG44" s="35"/>
      <c r="AH44" s="35">
        <v>0</v>
      </c>
      <c r="AI44" s="35"/>
      <c r="AJ44" s="35">
        <v>0</v>
      </c>
      <c r="AK44" s="35"/>
      <c r="AL44" s="35">
        <v>0</v>
      </c>
      <c r="AM44" s="35"/>
      <c r="AN44" s="35">
        <v>0</v>
      </c>
      <c r="AO44" s="35"/>
      <c r="AP44" s="35">
        <f t="shared" si="4"/>
        <v>0</v>
      </c>
      <c r="AQ44" s="35"/>
      <c r="AR44" s="35">
        <v>0</v>
      </c>
      <c r="AS44" s="35"/>
      <c r="AT44" s="35">
        <v>0</v>
      </c>
      <c r="AU44" s="35"/>
      <c r="AV44" s="35">
        <f t="shared" si="5"/>
        <v>0</v>
      </c>
      <c r="AW44" s="35"/>
      <c r="AX44" s="23" t="s">
        <v>39</v>
      </c>
      <c r="AY44" s="35"/>
      <c r="AZ44" s="35">
        <v>0</v>
      </c>
      <c r="BA44" s="35"/>
      <c r="BB44" s="35">
        <v>0</v>
      </c>
      <c r="BC44" s="35"/>
      <c r="BD44" s="35">
        <v>0</v>
      </c>
      <c r="BE44" s="35"/>
      <c r="BF44" s="35">
        <v>0</v>
      </c>
      <c r="BG44" s="35"/>
      <c r="BH44" s="35"/>
      <c r="BI44" s="35"/>
      <c r="BJ44" s="17">
        <f t="shared" si="6"/>
        <v>0</v>
      </c>
    </row>
    <row r="45" spans="1:62" s="36" customFormat="1" ht="12" hidden="1">
      <c r="A45" s="23" t="s">
        <v>40</v>
      </c>
      <c r="B45" s="23"/>
      <c r="C45" s="35">
        <f t="shared" si="1"/>
        <v>0</v>
      </c>
      <c r="D45" s="35"/>
      <c r="E45" s="35">
        <v>0</v>
      </c>
      <c r="F45" s="35"/>
      <c r="G45" s="35">
        <v>0</v>
      </c>
      <c r="H45" s="35"/>
      <c r="I45" s="35">
        <f t="shared" si="9"/>
        <v>0</v>
      </c>
      <c r="J45" s="35"/>
      <c r="K45" s="35">
        <f t="shared" si="11"/>
        <v>0</v>
      </c>
      <c r="L45" s="35"/>
      <c r="M45" s="35">
        <v>0</v>
      </c>
      <c r="N45" s="35"/>
      <c r="O45" s="35">
        <v>0</v>
      </c>
      <c r="P45" s="35"/>
      <c r="Q45" s="35">
        <v>0</v>
      </c>
      <c r="R45" s="35"/>
      <c r="S45" s="35">
        <v>0</v>
      </c>
      <c r="T45" s="35"/>
      <c r="U45" s="35">
        <f t="shared" si="2"/>
        <v>0</v>
      </c>
      <c r="V45" s="35">
        <f t="shared" si="10"/>
        <v>0</v>
      </c>
      <c r="W45" s="35"/>
      <c r="X45" s="23" t="s">
        <v>40</v>
      </c>
      <c r="Y45" s="35"/>
      <c r="Z45" s="35">
        <v>0</v>
      </c>
      <c r="AA45" s="35"/>
      <c r="AB45" s="35">
        <v>0</v>
      </c>
      <c r="AC45" s="35"/>
      <c r="AD45" s="35">
        <v>0</v>
      </c>
      <c r="AE45" s="35"/>
      <c r="AF45" s="35">
        <f t="shared" si="3"/>
        <v>0</v>
      </c>
      <c r="AG45" s="35"/>
      <c r="AH45" s="35">
        <v>0</v>
      </c>
      <c r="AI45" s="35"/>
      <c r="AJ45" s="35">
        <v>0</v>
      </c>
      <c r="AK45" s="35"/>
      <c r="AL45" s="35">
        <v>0</v>
      </c>
      <c r="AM45" s="35"/>
      <c r="AN45" s="35">
        <v>0</v>
      </c>
      <c r="AO45" s="35"/>
      <c r="AP45" s="35">
        <f t="shared" si="4"/>
        <v>0</v>
      </c>
      <c r="AQ45" s="35"/>
      <c r="AR45" s="35">
        <v>0</v>
      </c>
      <c r="AS45" s="35"/>
      <c r="AT45" s="35">
        <v>0</v>
      </c>
      <c r="AU45" s="35"/>
      <c r="AV45" s="35">
        <f t="shared" si="5"/>
        <v>0</v>
      </c>
      <c r="AW45" s="35"/>
      <c r="AX45" s="23" t="s">
        <v>40</v>
      </c>
      <c r="AY45" s="35"/>
      <c r="AZ45" s="35">
        <v>0</v>
      </c>
      <c r="BA45" s="35"/>
      <c r="BB45" s="35">
        <v>0</v>
      </c>
      <c r="BC45" s="35"/>
      <c r="BD45" s="35">
        <v>0</v>
      </c>
      <c r="BE45" s="35"/>
      <c r="BF45" s="35">
        <v>0</v>
      </c>
      <c r="BG45" s="35"/>
      <c r="BH45" s="35"/>
      <c r="BI45" s="35"/>
      <c r="BJ45" s="17">
        <f t="shared" si="6"/>
        <v>0</v>
      </c>
    </row>
    <row r="46" spans="1:62" s="36" customFormat="1" ht="12" hidden="1">
      <c r="A46" s="23" t="s">
        <v>41</v>
      </c>
      <c r="B46" s="23"/>
      <c r="C46" s="35">
        <f t="shared" si="1"/>
        <v>0</v>
      </c>
      <c r="D46" s="35"/>
      <c r="E46" s="35">
        <v>0</v>
      </c>
      <c r="F46" s="35"/>
      <c r="G46" s="35">
        <v>0</v>
      </c>
      <c r="H46" s="35"/>
      <c r="I46" s="35">
        <f t="shared" si="9"/>
        <v>0</v>
      </c>
      <c r="J46" s="35"/>
      <c r="K46" s="35">
        <f t="shared" si="11"/>
        <v>0</v>
      </c>
      <c r="L46" s="35"/>
      <c r="M46" s="35">
        <v>0</v>
      </c>
      <c r="N46" s="35"/>
      <c r="O46" s="35">
        <v>0</v>
      </c>
      <c r="P46" s="35"/>
      <c r="Q46" s="35">
        <v>0</v>
      </c>
      <c r="R46" s="35"/>
      <c r="S46" s="35">
        <v>0</v>
      </c>
      <c r="T46" s="35"/>
      <c r="U46" s="35">
        <f t="shared" si="2"/>
        <v>0</v>
      </c>
      <c r="V46" s="35">
        <f t="shared" si="10"/>
        <v>0</v>
      </c>
      <c r="W46" s="35"/>
      <c r="X46" s="23" t="s">
        <v>41</v>
      </c>
      <c r="Y46" s="35"/>
      <c r="Z46" s="35">
        <v>0</v>
      </c>
      <c r="AA46" s="35"/>
      <c r="AB46" s="35">
        <v>0</v>
      </c>
      <c r="AC46" s="35"/>
      <c r="AD46" s="35">
        <v>0</v>
      </c>
      <c r="AE46" s="35"/>
      <c r="AF46" s="35">
        <f t="shared" si="3"/>
        <v>0</v>
      </c>
      <c r="AG46" s="35"/>
      <c r="AH46" s="35">
        <v>0</v>
      </c>
      <c r="AI46" s="35"/>
      <c r="AJ46" s="35">
        <v>0</v>
      </c>
      <c r="AK46" s="35"/>
      <c r="AL46" s="35">
        <v>0</v>
      </c>
      <c r="AM46" s="35"/>
      <c r="AN46" s="35">
        <v>0</v>
      </c>
      <c r="AO46" s="35"/>
      <c r="AP46" s="35">
        <f t="shared" si="4"/>
        <v>0</v>
      </c>
      <c r="AQ46" s="35"/>
      <c r="AR46" s="35">
        <v>0</v>
      </c>
      <c r="AS46" s="35"/>
      <c r="AT46" s="35">
        <v>0</v>
      </c>
      <c r="AU46" s="35"/>
      <c r="AV46" s="35">
        <f t="shared" si="5"/>
        <v>0</v>
      </c>
      <c r="AW46" s="35"/>
      <c r="AX46" s="23" t="s">
        <v>41</v>
      </c>
      <c r="AY46" s="35"/>
      <c r="AZ46" s="35">
        <v>0</v>
      </c>
      <c r="BA46" s="35"/>
      <c r="BB46" s="35">
        <v>0</v>
      </c>
      <c r="BC46" s="35"/>
      <c r="BD46" s="35">
        <v>0</v>
      </c>
      <c r="BE46" s="35"/>
      <c r="BF46" s="35">
        <v>0</v>
      </c>
      <c r="BG46" s="35"/>
      <c r="BH46" s="35"/>
      <c r="BI46" s="35"/>
      <c r="BJ46" s="17">
        <f t="shared" si="6"/>
        <v>0</v>
      </c>
    </row>
    <row r="47" spans="1:62" s="36" customFormat="1" ht="12" hidden="1">
      <c r="A47" s="23" t="s">
        <v>42</v>
      </c>
      <c r="B47" s="23"/>
      <c r="C47" s="35">
        <f t="shared" si="1"/>
        <v>0</v>
      </c>
      <c r="D47" s="35"/>
      <c r="E47" s="35">
        <v>0</v>
      </c>
      <c r="F47" s="35"/>
      <c r="G47" s="35">
        <v>0</v>
      </c>
      <c r="H47" s="35"/>
      <c r="I47" s="35">
        <f t="shared" si="9"/>
        <v>0</v>
      </c>
      <c r="J47" s="35"/>
      <c r="K47" s="35">
        <f t="shared" si="11"/>
        <v>0</v>
      </c>
      <c r="L47" s="35"/>
      <c r="M47" s="35">
        <v>0</v>
      </c>
      <c r="N47" s="35"/>
      <c r="O47" s="35">
        <v>0</v>
      </c>
      <c r="P47" s="35"/>
      <c r="Q47" s="35">
        <v>0</v>
      </c>
      <c r="R47" s="35"/>
      <c r="S47" s="35">
        <v>0</v>
      </c>
      <c r="T47" s="35"/>
      <c r="U47" s="35">
        <f t="shared" si="2"/>
        <v>0</v>
      </c>
      <c r="V47" s="35">
        <f t="shared" si="10"/>
        <v>0</v>
      </c>
      <c r="W47" s="35"/>
      <c r="X47" s="23" t="s">
        <v>42</v>
      </c>
      <c r="Y47" s="35"/>
      <c r="Z47" s="35">
        <v>0</v>
      </c>
      <c r="AA47" s="35"/>
      <c r="AB47" s="35">
        <v>0</v>
      </c>
      <c r="AC47" s="35"/>
      <c r="AD47" s="35">
        <v>0</v>
      </c>
      <c r="AE47" s="35"/>
      <c r="AF47" s="35">
        <f t="shared" si="3"/>
        <v>0</v>
      </c>
      <c r="AG47" s="35"/>
      <c r="AH47" s="35">
        <v>0</v>
      </c>
      <c r="AI47" s="35"/>
      <c r="AJ47" s="35">
        <v>0</v>
      </c>
      <c r="AK47" s="35"/>
      <c r="AL47" s="35">
        <v>0</v>
      </c>
      <c r="AM47" s="35"/>
      <c r="AN47" s="35">
        <v>0</v>
      </c>
      <c r="AO47" s="35"/>
      <c r="AP47" s="35">
        <f t="shared" si="4"/>
        <v>0</v>
      </c>
      <c r="AQ47" s="35"/>
      <c r="AR47" s="35">
        <v>0</v>
      </c>
      <c r="AS47" s="35"/>
      <c r="AT47" s="35">
        <v>0</v>
      </c>
      <c r="AU47" s="35"/>
      <c r="AV47" s="35">
        <f t="shared" si="5"/>
        <v>0</v>
      </c>
      <c r="AW47" s="35"/>
      <c r="AX47" s="23" t="s">
        <v>42</v>
      </c>
      <c r="AY47" s="35"/>
      <c r="AZ47" s="35">
        <v>0</v>
      </c>
      <c r="BA47" s="35"/>
      <c r="BB47" s="35">
        <v>0</v>
      </c>
      <c r="BC47" s="35"/>
      <c r="BD47" s="35">
        <v>0</v>
      </c>
      <c r="BE47" s="35"/>
      <c r="BF47" s="35">
        <v>0</v>
      </c>
      <c r="BG47" s="35"/>
      <c r="BH47" s="35"/>
      <c r="BI47" s="35"/>
      <c r="BJ47" s="17">
        <f t="shared" si="6"/>
        <v>0</v>
      </c>
    </row>
    <row r="48" spans="1:62" s="36" customFormat="1" ht="12" hidden="1">
      <c r="A48" s="23" t="s">
        <v>43</v>
      </c>
      <c r="B48" s="23"/>
      <c r="C48" s="35">
        <f t="shared" si="1"/>
        <v>0</v>
      </c>
      <c r="D48" s="35"/>
      <c r="E48" s="35">
        <v>0</v>
      </c>
      <c r="F48" s="35"/>
      <c r="G48" s="35">
        <v>0</v>
      </c>
      <c r="H48" s="35"/>
      <c r="I48" s="35">
        <f t="shared" si="9"/>
        <v>0</v>
      </c>
      <c r="J48" s="35"/>
      <c r="K48" s="35">
        <f t="shared" si="11"/>
        <v>0</v>
      </c>
      <c r="L48" s="35"/>
      <c r="M48" s="35">
        <v>0</v>
      </c>
      <c r="N48" s="35"/>
      <c r="O48" s="35">
        <v>0</v>
      </c>
      <c r="P48" s="35"/>
      <c r="Q48" s="35">
        <v>0</v>
      </c>
      <c r="R48" s="35"/>
      <c r="S48" s="35">
        <v>0</v>
      </c>
      <c r="T48" s="35"/>
      <c r="U48" s="35">
        <f t="shared" si="2"/>
        <v>0</v>
      </c>
      <c r="V48" s="35">
        <f t="shared" si="10"/>
        <v>0</v>
      </c>
      <c r="W48" s="35"/>
      <c r="X48" s="23" t="s">
        <v>43</v>
      </c>
      <c r="Y48" s="35"/>
      <c r="Z48" s="35">
        <v>0</v>
      </c>
      <c r="AA48" s="35"/>
      <c r="AB48" s="35">
        <v>0</v>
      </c>
      <c r="AC48" s="35"/>
      <c r="AD48" s="35">
        <v>0</v>
      </c>
      <c r="AE48" s="35"/>
      <c r="AF48" s="35">
        <f t="shared" si="3"/>
        <v>0</v>
      </c>
      <c r="AG48" s="35"/>
      <c r="AH48" s="35">
        <v>0</v>
      </c>
      <c r="AI48" s="35"/>
      <c r="AJ48" s="35">
        <v>0</v>
      </c>
      <c r="AK48" s="35"/>
      <c r="AL48" s="35">
        <v>0</v>
      </c>
      <c r="AM48" s="35"/>
      <c r="AN48" s="35">
        <v>0</v>
      </c>
      <c r="AO48" s="35"/>
      <c r="AP48" s="35">
        <f t="shared" si="4"/>
        <v>0</v>
      </c>
      <c r="AQ48" s="35"/>
      <c r="AR48" s="35">
        <v>0</v>
      </c>
      <c r="AS48" s="35"/>
      <c r="AT48" s="35">
        <v>0</v>
      </c>
      <c r="AU48" s="35"/>
      <c r="AV48" s="35">
        <f t="shared" si="5"/>
        <v>0</v>
      </c>
      <c r="AW48" s="35"/>
      <c r="AX48" s="23" t="s">
        <v>43</v>
      </c>
      <c r="AY48" s="35"/>
      <c r="AZ48" s="35">
        <v>0</v>
      </c>
      <c r="BA48" s="35"/>
      <c r="BB48" s="35">
        <v>0</v>
      </c>
      <c r="BC48" s="35"/>
      <c r="BD48" s="35">
        <v>0</v>
      </c>
      <c r="BE48" s="35"/>
      <c r="BF48" s="35">
        <v>0</v>
      </c>
      <c r="BG48" s="35"/>
      <c r="BH48" s="35"/>
      <c r="BI48" s="35"/>
      <c r="BJ48" s="17">
        <f t="shared" si="6"/>
        <v>0</v>
      </c>
    </row>
    <row r="49" spans="1:63" s="36" customFormat="1" ht="12" hidden="1">
      <c r="A49" s="23" t="s">
        <v>44</v>
      </c>
      <c r="B49" s="23"/>
      <c r="C49" s="35">
        <f t="shared" si="1"/>
        <v>0</v>
      </c>
      <c r="D49" s="35"/>
      <c r="E49" s="35">
        <v>0</v>
      </c>
      <c r="F49" s="35"/>
      <c r="G49" s="35">
        <v>0</v>
      </c>
      <c r="H49" s="35"/>
      <c r="I49" s="35">
        <f t="shared" si="9"/>
        <v>0</v>
      </c>
      <c r="J49" s="35"/>
      <c r="K49" s="35">
        <f t="shared" si="11"/>
        <v>0</v>
      </c>
      <c r="L49" s="35"/>
      <c r="M49" s="35">
        <v>0</v>
      </c>
      <c r="N49" s="35"/>
      <c r="O49" s="35">
        <v>0</v>
      </c>
      <c r="P49" s="35"/>
      <c r="Q49" s="35">
        <v>0</v>
      </c>
      <c r="R49" s="35"/>
      <c r="S49" s="35">
        <v>0</v>
      </c>
      <c r="T49" s="35"/>
      <c r="U49" s="35">
        <f t="shared" si="2"/>
        <v>0</v>
      </c>
      <c r="V49" s="35">
        <f t="shared" si="10"/>
        <v>0</v>
      </c>
      <c r="W49" s="35"/>
      <c r="X49" s="23" t="s">
        <v>44</v>
      </c>
      <c r="Y49" s="35"/>
      <c r="Z49" s="35">
        <v>0</v>
      </c>
      <c r="AA49" s="35"/>
      <c r="AB49" s="35">
        <v>0</v>
      </c>
      <c r="AC49" s="35"/>
      <c r="AD49" s="35">
        <v>0</v>
      </c>
      <c r="AE49" s="35"/>
      <c r="AF49" s="35">
        <f t="shared" si="3"/>
        <v>0</v>
      </c>
      <c r="AG49" s="35"/>
      <c r="AH49" s="35">
        <v>0</v>
      </c>
      <c r="AI49" s="35"/>
      <c r="AJ49" s="35">
        <v>0</v>
      </c>
      <c r="AK49" s="35"/>
      <c r="AL49" s="35">
        <v>0</v>
      </c>
      <c r="AM49" s="35"/>
      <c r="AN49" s="35">
        <v>0</v>
      </c>
      <c r="AO49" s="35"/>
      <c r="AP49" s="35">
        <f t="shared" si="4"/>
        <v>0</v>
      </c>
      <c r="AQ49" s="35"/>
      <c r="AR49" s="35">
        <v>0</v>
      </c>
      <c r="AS49" s="35"/>
      <c r="AT49" s="35">
        <v>0</v>
      </c>
      <c r="AU49" s="35"/>
      <c r="AV49" s="35">
        <f t="shared" si="5"/>
        <v>0</v>
      </c>
      <c r="AW49" s="35"/>
      <c r="AX49" s="23" t="s">
        <v>44</v>
      </c>
      <c r="AY49" s="35"/>
      <c r="AZ49" s="35">
        <v>0</v>
      </c>
      <c r="BA49" s="35"/>
      <c r="BB49" s="35">
        <v>0</v>
      </c>
      <c r="BC49" s="35"/>
      <c r="BD49" s="35">
        <v>0</v>
      </c>
      <c r="BE49" s="35"/>
      <c r="BF49" s="35">
        <v>0</v>
      </c>
      <c r="BG49" s="35"/>
      <c r="BH49" s="35"/>
      <c r="BI49" s="35"/>
      <c r="BJ49" s="17">
        <f t="shared" si="6"/>
        <v>0</v>
      </c>
      <c r="BK49" s="17"/>
    </row>
    <row r="50" spans="1:62" s="36" customFormat="1" ht="12" hidden="1">
      <c r="A50" s="23" t="s">
        <v>241</v>
      </c>
      <c r="B50" s="23"/>
      <c r="C50" s="35">
        <f t="shared" si="1"/>
        <v>0</v>
      </c>
      <c r="D50" s="35"/>
      <c r="E50" s="35">
        <v>0</v>
      </c>
      <c r="F50" s="35"/>
      <c r="G50" s="35">
        <v>0</v>
      </c>
      <c r="H50" s="35"/>
      <c r="I50" s="35">
        <f t="shared" si="9"/>
        <v>0</v>
      </c>
      <c r="J50" s="35"/>
      <c r="K50" s="35">
        <f t="shared" si="11"/>
        <v>0</v>
      </c>
      <c r="L50" s="35"/>
      <c r="M50" s="35">
        <v>0</v>
      </c>
      <c r="N50" s="35"/>
      <c r="O50" s="35">
        <v>0</v>
      </c>
      <c r="P50" s="35"/>
      <c r="Q50" s="35">
        <v>0</v>
      </c>
      <c r="R50" s="35"/>
      <c r="S50" s="35">
        <v>0</v>
      </c>
      <c r="T50" s="35"/>
      <c r="U50" s="35">
        <f t="shared" si="2"/>
        <v>0</v>
      </c>
      <c r="V50" s="35">
        <f t="shared" si="10"/>
        <v>0</v>
      </c>
      <c r="W50" s="35"/>
      <c r="X50" s="23" t="s">
        <v>45</v>
      </c>
      <c r="Y50" s="35"/>
      <c r="Z50" s="35">
        <v>0</v>
      </c>
      <c r="AA50" s="35"/>
      <c r="AB50" s="35">
        <v>0</v>
      </c>
      <c r="AC50" s="35"/>
      <c r="AD50" s="35">
        <v>0</v>
      </c>
      <c r="AE50" s="35"/>
      <c r="AF50" s="35">
        <f t="shared" si="3"/>
        <v>0</v>
      </c>
      <c r="AG50" s="35"/>
      <c r="AH50" s="35">
        <v>0</v>
      </c>
      <c r="AI50" s="35"/>
      <c r="AJ50" s="35">
        <v>0</v>
      </c>
      <c r="AK50" s="35"/>
      <c r="AL50" s="35">
        <v>0</v>
      </c>
      <c r="AM50" s="35"/>
      <c r="AN50" s="35">
        <v>0</v>
      </c>
      <c r="AO50" s="35"/>
      <c r="AP50" s="35">
        <f t="shared" si="4"/>
        <v>0</v>
      </c>
      <c r="AQ50" s="35"/>
      <c r="AR50" s="35">
        <v>0</v>
      </c>
      <c r="AS50" s="35"/>
      <c r="AT50" s="35">
        <v>0</v>
      </c>
      <c r="AU50" s="35"/>
      <c r="AV50" s="35">
        <f t="shared" si="5"/>
        <v>0</v>
      </c>
      <c r="AW50" s="35"/>
      <c r="AX50" s="23" t="s">
        <v>45</v>
      </c>
      <c r="AY50" s="35"/>
      <c r="AZ50" s="35">
        <v>0</v>
      </c>
      <c r="BA50" s="35"/>
      <c r="BB50" s="35">
        <v>0</v>
      </c>
      <c r="BC50" s="35"/>
      <c r="BD50" s="35">
        <v>0</v>
      </c>
      <c r="BE50" s="35"/>
      <c r="BF50" s="35">
        <v>0</v>
      </c>
      <c r="BG50" s="35"/>
      <c r="BH50" s="35"/>
      <c r="BI50" s="35"/>
      <c r="BJ50" s="17">
        <f t="shared" si="6"/>
        <v>0</v>
      </c>
    </row>
    <row r="51" spans="1:63" s="36" customFormat="1" ht="12">
      <c r="A51" s="23" t="s">
        <v>46</v>
      </c>
      <c r="B51" s="23"/>
      <c r="C51" s="35">
        <f t="shared" si="1"/>
        <v>3238442</v>
      </c>
      <c r="D51" s="35"/>
      <c r="E51" s="35">
        <v>25991566</v>
      </c>
      <c r="F51" s="35"/>
      <c r="G51" s="35">
        <v>29230008</v>
      </c>
      <c r="H51" s="35"/>
      <c r="I51" s="35">
        <f t="shared" si="9"/>
        <v>970663</v>
      </c>
      <c r="J51" s="35"/>
      <c r="K51" s="35">
        <f t="shared" si="11"/>
        <v>10220141</v>
      </c>
      <c r="L51" s="35"/>
      <c r="M51" s="35">
        <v>11190804</v>
      </c>
      <c r="N51" s="35"/>
      <c r="O51" s="35">
        <v>15239919</v>
      </c>
      <c r="P51" s="35"/>
      <c r="Q51" s="35">
        <v>0</v>
      </c>
      <c r="R51" s="35"/>
      <c r="S51" s="35">
        <v>2799285</v>
      </c>
      <c r="T51" s="35"/>
      <c r="U51" s="35">
        <f t="shared" si="2"/>
        <v>18039204</v>
      </c>
      <c r="V51" s="35">
        <f t="shared" si="10"/>
        <v>0</v>
      </c>
      <c r="W51" s="35"/>
      <c r="X51" s="23" t="s">
        <v>46</v>
      </c>
      <c r="Y51" s="35"/>
      <c r="Z51" s="35">
        <v>4980799</v>
      </c>
      <c r="AA51" s="35"/>
      <c r="AB51" s="35">
        <f>901059+2053270+143898+122858</f>
        <v>3221085</v>
      </c>
      <c r="AC51" s="35"/>
      <c r="AD51" s="35">
        <v>1235471</v>
      </c>
      <c r="AE51" s="35"/>
      <c r="AF51" s="35">
        <f t="shared" si="3"/>
        <v>524243</v>
      </c>
      <c r="AG51" s="35"/>
      <c r="AH51" s="35">
        <v>-228054</v>
      </c>
      <c r="AI51" s="35"/>
      <c r="AJ51" s="35">
        <v>0</v>
      </c>
      <c r="AK51" s="35"/>
      <c r="AL51" s="35">
        <v>0</v>
      </c>
      <c r="AM51" s="35"/>
      <c r="AN51" s="35">
        <v>32078</v>
      </c>
      <c r="AO51" s="35"/>
      <c r="AP51" s="35">
        <f t="shared" si="4"/>
        <v>328267</v>
      </c>
      <c r="AQ51" s="35"/>
      <c r="AR51" s="35">
        <v>0</v>
      </c>
      <c r="AS51" s="35"/>
      <c r="AT51" s="35">
        <v>0</v>
      </c>
      <c r="AU51" s="35"/>
      <c r="AV51" s="35">
        <f t="shared" si="5"/>
        <v>2267779</v>
      </c>
      <c r="AW51" s="35"/>
      <c r="AX51" s="23" t="s">
        <v>46</v>
      </c>
      <c r="AY51" s="35"/>
      <c r="AZ51" s="35">
        <v>1718610</v>
      </c>
      <c r="BA51" s="35"/>
      <c r="BB51" s="35">
        <v>0</v>
      </c>
      <c r="BC51" s="35"/>
      <c r="BD51" s="35">
        <f>450209+1677039+6334451</f>
        <v>8461699</v>
      </c>
      <c r="BE51" s="35"/>
      <c r="BF51" s="35">
        <v>39832</v>
      </c>
      <c r="BG51" s="35"/>
      <c r="BH51" s="35"/>
      <c r="BI51" s="35"/>
      <c r="BJ51" s="17">
        <f t="shared" si="6"/>
        <v>10220141</v>
      </c>
      <c r="BK51" s="17"/>
    </row>
    <row r="52" spans="1:63" s="36" customFormat="1" ht="12" hidden="1">
      <c r="A52" s="23" t="s">
        <v>47</v>
      </c>
      <c r="B52" s="23"/>
      <c r="C52" s="35">
        <f t="shared" si="1"/>
        <v>0</v>
      </c>
      <c r="D52" s="35"/>
      <c r="E52" s="35">
        <v>0</v>
      </c>
      <c r="F52" s="35"/>
      <c r="G52" s="35">
        <v>0</v>
      </c>
      <c r="H52" s="35"/>
      <c r="I52" s="35">
        <f t="shared" si="9"/>
        <v>0</v>
      </c>
      <c r="J52" s="35"/>
      <c r="K52" s="35">
        <f t="shared" si="11"/>
        <v>0</v>
      </c>
      <c r="L52" s="35"/>
      <c r="M52" s="35">
        <v>0</v>
      </c>
      <c r="N52" s="35"/>
      <c r="O52" s="35">
        <v>0</v>
      </c>
      <c r="P52" s="35"/>
      <c r="Q52" s="35">
        <v>0</v>
      </c>
      <c r="R52" s="35"/>
      <c r="S52" s="35">
        <v>0</v>
      </c>
      <c r="T52" s="35"/>
      <c r="U52" s="35">
        <f t="shared" si="2"/>
        <v>0</v>
      </c>
      <c r="V52" s="35">
        <f t="shared" si="10"/>
        <v>0</v>
      </c>
      <c r="W52" s="35"/>
      <c r="X52" s="23" t="s">
        <v>47</v>
      </c>
      <c r="Y52" s="35"/>
      <c r="Z52" s="35">
        <v>0</v>
      </c>
      <c r="AA52" s="35"/>
      <c r="AB52" s="35">
        <v>0</v>
      </c>
      <c r="AC52" s="35"/>
      <c r="AD52" s="35">
        <v>0</v>
      </c>
      <c r="AE52" s="35"/>
      <c r="AF52" s="35">
        <f t="shared" si="3"/>
        <v>0</v>
      </c>
      <c r="AG52" s="35"/>
      <c r="AH52" s="35">
        <v>0</v>
      </c>
      <c r="AI52" s="35"/>
      <c r="AJ52" s="35">
        <v>0</v>
      </c>
      <c r="AK52" s="35"/>
      <c r="AL52" s="35">
        <v>0</v>
      </c>
      <c r="AM52" s="35"/>
      <c r="AN52" s="35">
        <v>0</v>
      </c>
      <c r="AO52" s="35"/>
      <c r="AP52" s="35">
        <f t="shared" si="4"/>
        <v>0</v>
      </c>
      <c r="AQ52" s="35"/>
      <c r="AR52" s="35">
        <v>0</v>
      </c>
      <c r="AS52" s="35"/>
      <c r="AT52" s="35">
        <v>0</v>
      </c>
      <c r="AU52" s="35"/>
      <c r="AV52" s="35">
        <f t="shared" si="5"/>
        <v>0</v>
      </c>
      <c r="AW52" s="35"/>
      <c r="AX52" s="23" t="s">
        <v>47</v>
      </c>
      <c r="AY52" s="35"/>
      <c r="AZ52" s="35">
        <v>0</v>
      </c>
      <c r="BA52" s="35"/>
      <c r="BB52" s="35">
        <v>0</v>
      </c>
      <c r="BC52" s="35"/>
      <c r="BD52" s="35">
        <v>0</v>
      </c>
      <c r="BE52" s="35"/>
      <c r="BF52" s="35">
        <v>0</v>
      </c>
      <c r="BG52" s="35"/>
      <c r="BH52" s="35"/>
      <c r="BI52" s="35"/>
      <c r="BJ52" s="17">
        <f t="shared" si="6"/>
        <v>0</v>
      </c>
      <c r="BK52" s="17"/>
    </row>
    <row r="53" spans="1:62" s="36" customFormat="1" ht="12">
      <c r="A53" s="23" t="s">
        <v>48</v>
      </c>
      <c r="B53" s="23"/>
      <c r="C53" s="35">
        <f t="shared" si="1"/>
        <v>15184326</v>
      </c>
      <c r="D53" s="35"/>
      <c r="E53" s="35">
        <v>57316286</v>
      </c>
      <c r="F53" s="35"/>
      <c r="G53" s="35">
        <v>72500612</v>
      </c>
      <c r="H53" s="35"/>
      <c r="I53" s="35">
        <f t="shared" si="9"/>
        <v>12009179</v>
      </c>
      <c r="J53" s="35"/>
      <c r="K53" s="35">
        <f t="shared" si="11"/>
        <v>5716666</v>
      </c>
      <c r="L53" s="35"/>
      <c r="M53" s="35">
        <v>17725845</v>
      </c>
      <c r="N53" s="35"/>
      <c r="O53" s="35">
        <v>45418456</v>
      </c>
      <c r="P53" s="35"/>
      <c r="Q53" s="35">
        <v>0</v>
      </c>
      <c r="R53" s="35"/>
      <c r="S53" s="35">
        <v>9356311</v>
      </c>
      <c r="T53" s="35"/>
      <c r="U53" s="35">
        <f t="shared" si="2"/>
        <v>54774767</v>
      </c>
      <c r="V53" s="35">
        <f t="shared" si="10"/>
        <v>0</v>
      </c>
      <c r="W53" s="35"/>
      <c r="X53" s="23" t="s">
        <v>48</v>
      </c>
      <c r="Y53" s="35"/>
      <c r="Z53" s="35">
        <v>19422144</v>
      </c>
      <c r="AA53" s="35"/>
      <c r="AB53" s="35">
        <f>12847149-3464423</f>
        <v>9382726</v>
      </c>
      <c r="AC53" s="35"/>
      <c r="AD53" s="35">
        <v>3464423</v>
      </c>
      <c r="AE53" s="35"/>
      <c r="AF53" s="35">
        <f t="shared" si="3"/>
        <v>6574995</v>
      </c>
      <c r="AG53" s="35"/>
      <c r="AH53" s="35">
        <v>-1238034</v>
      </c>
      <c r="AI53" s="35"/>
      <c r="AJ53" s="35">
        <v>0</v>
      </c>
      <c r="AK53" s="35"/>
      <c r="AL53" s="35">
        <v>50000</v>
      </c>
      <c r="AM53" s="35"/>
      <c r="AN53" s="35">
        <f>1980695+24985</f>
        <v>2005680</v>
      </c>
      <c r="AO53" s="35"/>
      <c r="AP53" s="35">
        <f t="shared" si="4"/>
        <v>7292641</v>
      </c>
      <c r="AQ53" s="35"/>
      <c r="AR53" s="35">
        <v>0</v>
      </c>
      <c r="AS53" s="35"/>
      <c r="AT53" s="35">
        <v>0</v>
      </c>
      <c r="AU53" s="35"/>
      <c r="AV53" s="35">
        <f t="shared" si="5"/>
        <v>3175147</v>
      </c>
      <c r="AW53" s="35"/>
      <c r="AX53" s="23" t="s">
        <v>48</v>
      </c>
      <c r="AY53" s="35"/>
      <c r="AZ53" s="35">
        <v>1315000</v>
      </c>
      <c r="BA53" s="35"/>
      <c r="BB53" s="35">
        <v>0</v>
      </c>
      <c r="BC53" s="35"/>
      <c r="BD53" s="35">
        <v>3515403</v>
      </c>
      <c r="BE53" s="35"/>
      <c r="BF53" s="35">
        <v>886263</v>
      </c>
      <c r="BG53" s="35"/>
      <c r="BH53" s="35"/>
      <c r="BI53" s="35"/>
      <c r="BJ53" s="17">
        <f t="shared" si="6"/>
        <v>5716666</v>
      </c>
    </row>
    <row r="54" spans="1:62" s="36" customFormat="1" ht="12" hidden="1">
      <c r="A54" s="23" t="s">
        <v>170</v>
      </c>
      <c r="B54" s="23"/>
      <c r="C54" s="35">
        <f t="shared" si="1"/>
        <v>0</v>
      </c>
      <c r="D54" s="35"/>
      <c r="E54" s="35">
        <v>0</v>
      </c>
      <c r="F54" s="35"/>
      <c r="G54" s="35">
        <v>0</v>
      </c>
      <c r="H54" s="35"/>
      <c r="I54" s="35">
        <f t="shared" si="9"/>
        <v>0</v>
      </c>
      <c r="J54" s="35"/>
      <c r="K54" s="35">
        <f t="shared" si="11"/>
        <v>0</v>
      </c>
      <c r="L54" s="35"/>
      <c r="M54" s="35">
        <v>0</v>
      </c>
      <c r="N54" s="35"/>
      <c r="O54" s="35">
        <v>0</v>
      </c>
      <c r="P54" s="35"/>
      <c r="Q54" s="35">
        <v>0</v>
      </c>
      <c r="R54" s="35"/>
      <c r="S54" s="35">
        <v>0</v>
      </c>
      <c r="T54" s="35"/>
      <c r="U54" s="35">
        <f t="shared" si="2"/>
        <v>0</v>
      </c>
      <c r="V54" s="35">
        <f t="shared" si="10"/>
        <v>0</v>
      </c>
      <c r="W54" s="35"/>
      <c r="X54" s="23" t="s">
        <v>223</v>
      </c>
      <c r="Y54" s="35"/>
      <c r="Z54" s="35">
        <v>0</v>
      </c>
      <c r="AA54" s="35"/>
      <c r="AB54" s="35">
        <v>0</v>
      </c>
      <c r="AC54" s="35"/>
      <c r="AD54" s="35">
        <v>0</v>
      </c>
      <c r="AE54" s="35"/>
      <c r="AF54" s="35">
        <f t="shared" si="3"/>
        <v>0</v>
      </c>
      <c r="AG54" s="35"/>
      <c r="AH54" s="35">
        <v>0</v>
      </c>
      <c r="AI54" s="35"/>
      <c r="AJ54" s="35">
        <v>0</v>
      </c>
      <c r="AK54" s="35"/>
      <c r="AL54" s="35">
        <v>0</v>
      </c>
      <c r="AM54" s="35"/>
      <c r="AN54" s="35">
        <v>0</v>
      </c>
      <c r="AO54" s="35"/>
      <c r="AP54" s="35">
        <f t="shared" si="4"/>
        <v>0</v>
      </c>
      <c r="AQ54" s="35"/>
      <c r="AR54" s="35">
        <v>0</v>
      </c>
      <c r="AS54" s="35"/>
      <c r="AT54" s="35">
        <v>0</v>
      </c>
      <c r="AU54" s="35"/>
      <c r="AV54" s="35">
        <f t="shared" si="5"/>
        <v>0</v>
      </c>
      <c r="AW54" s="35"/>
      <c r="AX54" s="23" t="s">
        <v>223</v>
      </c>
      <c r="AY54" s="35"/>
      <c r="AZ54" s="35">
        <v>0</v>
      </c>
      <c r="BA54" s="35"/>
      <c r="BB54" s="35">
        <v>0</v>
      </c>
      <c r="BC54" s="35"/>
      <c r="BD54" s="35">
        <v>0</v>
      </c>
      <c r="BE54" s="35"/>
      <c r="BF54" s="35">
        <v>0</v>
      </c>
      <c r="BG54" s="35"/>
      <c r="BH54" s="35"/>
      <c r="BI54" s="35"/>
      <c r="BJ54" s="17">
        <f t="shared" si="6"/>
        <v>0</v>
      </c>
    </row>
    <row r="55" spans="1:62" s="36" customFormat="1" ht="12">
      <c r="A55" s="23" t="s">
        <v>49</v>
      </c>
      <c r="B55" s="23"/>
      <c r="C55" s="35">
        <f t="shared" si="1"/>
        <v>482153</v>
      </c>
      <c r="D55" s="35"/>
      <c r="E55" s="35">
        <v>883018</v>
      </c>
      <c r="F55" s="35"/>
      <c r="G55" s="35">
        <v>1365171</v>
      </c>
      <c r="H55" s="35"/>
      <c r="I55" s="35">
        <f t="shared" si="9"/>
        <v>70283</v>
      </c>
      <c r="J55" s="35"/>
      <c r="K55" s="35">
        <f t="shared" si="11"/>
        <v>280000</v>
      </c>
      <c r="L55" s="35"/>
      <c r="M55" s="35">
        <v>350283</v>
      </c>
      <c r="N55" s="35"/>
      <c r="O55" s="35">
        <v>558018</v>
      </c>
      <c r="P55" s="35"/>
      <c r="Q55" s="35">
        <v>0</v>
      </c>
      <c r="R55" s="35"/>
      <c r="S55" s="35">
        <v>456870</v>
      </c>
      <c r="T55" s="35"/>
      <c r="U55" s="35">
        <f t="shared" si="2"/>
        <v>1014888</v>
      </c>
      <c r="V55" s="35">
        <f t="shared" si="10"/>
        <v>0</v>
      </c>
      <c r="W55" s="35"/>
      <c r="X55" s="23" t="s">
        <v>49</v>
      </c>
      <c r="Y55" s="35"/>
      <c r="Z55" s="35">
        <v>306620</v>
      </c>
      <c r="AA55" s="35"/>
      <c r="AB55" s="35">
        <f>237187-62498</f>
        <v>174689</v>
      </c>
      <c r="AC55" s="35"/>
      <c r="AD55" s="35">
        <v>62498</v>
      </c>
      <c r="AE55" s="35"/>
      <c r="AF55" s="35">
        <f t="shared" si="3"/>
        <v>69433</v>
      </c>
      <c r="AG55" s="35"/>
      <c r="AH55" s="35">
        <v>-11546</v>
      </c>
      <c r="AI55" s="35"/>
      <c r="AJ55" s="35">
        <v>71507</v>
      </c>
      <c r="AK55" s="35"/>
      <c r="AL55" s="35">
        <v>2308</v>
      </c>
      <c r="AM55" s="35"/>
      <c r="AN55" s="35">
        <v>0</v>
      </c>
      <c r="AO55" s="35"/>
      <c r="AP55" s="35">
        <f t="shared" si="4"/>
        <v>127086</v>
      </c>
      <c r="AQ55" s="35"/>
      <c r="AR55" s="35">
        <v>0</v>
      </c>
      <c r="AS55" s="35"/>
      <c r="AT55" s="35">
        <v>0</v>
      </c>
      <c r="AU55" s="35"/>
      <c r="AV55" s="35">
        <f t="shared" si="5"/>
        <v>411870</v>
      </c>
      <c r="AW55" s="35"/>
      <c r="AX55" s="23" t="s">
        <v>49</v>
      </c>
      <c r="AY55" s="35"/>
      <c r="AZ55" s="35">
        <v>280000</v>
      </c>
      <c r="BA55" s="35"/>
      <c r="BB55" s="35">
        <v>0</v>
      </c>
      <c r="BC55" s="35"/>
      <c r="BD55" s="35">
        <v>0</v>
      </c>
      <c r="BE55" s="35"/>
      <c r="BF55" s="35">
        <v>0</v>
      </c>
      <c r="BG55" s="35"/>
      <c r="BH55" s="35"/>
      <c r="BI55" s="35"/>
      <c r="BJ55" s="17">
        <f t="shared" si="6"/>
        <v>280000</v>
      </c>
    </row>
    <row r="56" spans="1:62" s="36" customFormat="1" ht="12">
      <c r="A56" s="23" t="s">
        <v>50</v>
      </c>
      <c r="B56" s="23"/>
      <c r="C56" s="35">
        <f t="shared" si="1"/>
        <v>7645443</v>
      </c>
      <c r="D56" s="35"/>
      <c r="E56" s="35">
        <f>201000+18816797</f>
        <v>19017797</v>
      </c>
      <c r="F56" s="35"/>
      <c r="G56" s="35">
        <v>26663240</v>
      </c>
      <c r="H56" s="35"/>
      <c r="I56" s="35">
        <f t="shared" si="9"/>
        <v>5946956</v>
      </c>
      <c r="J56" s="35"/>
      <c r="K56" s="35">
        <f t="shared" si="11"/>
        <v>6519502</v>
      </c>
      <c r="L56" s="35"/>
      <c r="M56" s="35">
        <v>12466458</v>
      </c>
      <c r="N56" s="35"/>
      <c r="O56" s="35">
        <v>6913940</v>
      </c>
      <c r="P56" s="35"/>
      <c r="Q56" s="35">
        <v>0</v>
      </c>
      <c r="R56" s="35"/>
      <c r="S56" s="35">
        <v>7282842</v>
      </c>
      <c r="T56" s="35"/>
      <c r="U56" s="35">
        <f t="shared" si="2"/>
        <v>14196782</v>
      </c>
      <c r="V56" s="35">
        <f t="shared" si="10"/>
        <v>0</v>
      </c>
      <c r="W56" s="35"/>
      <c r="X56" s="23" t="s">
        <v>50</v>
      </c>
      <c r="Y56" s="35"/>
      <c r="Z56" s="35">
        <v>2712493</v>
      </c>
      <c r="AA56" s="35"/>
      <c r="AB56" s="35">
        <f>1692129-292866</f>
        <v>1399263</v>
      </c>
      <c r="AC56" s="35"/>
      <c r="AD56" s="35">
        <v>292866</v>
      </c>
      <c r="AE56" s="35"/>
      <c r="AF56" s="35">
        <f t="shared" si="3"/>
        <v>1020364</v>
      </c>
      <c r="AG56" s="35"/>
      <c r="AH56" s="35">
        <v>-311295</v>
      </c>
      <c r="AI56" s="35"/>
      <c r="AJ56" s="35">
        <v>54010</v>
      </c>
      <c r="AK56" s="35"/>
      <c r="AL56" s="35">
        <v>0</v>
      </c>
      <c r="AM56" s="35"/>
      <c r="AN56" s="35">
        <v>0</v>
      </c>
      <c r="AO56" s="35"/>
      <c r="AP56" s="35">
        <f t="shared" si="4"/>
        <v>763079</v>
      </c>
      <c r="AQ56" s="35"/>
      <c r="AR56" s="35">
        <v>0</v>
      </c>
      <c r="AS56" s="35"/>
      <c r="AT56" s="35">
        <v>0</v>
      </c>
      <c r="AU56" s="35"/>
      <c r="AV56" s="35">
        <f t="shared" si="5"/>
        <v>1698487</v>
      </c>
      <c r="AW56" s="35"/>
      <c r="AX56" s="23" t="s">
        <v>50</v>
      </c>
      <c r="AY56" s="35"/>
      <c r="AZ56" s="35">
        <v>0</v>
      </c>
      <c r="BA56" s="35"/>
      <c r="BB56" s="35">
        <v>5834375</v>
      </c>
      <c r="BC56" s="35"/>
      <c r="BD56" s="35">
        <v>672700</v>
      </c>
      <c r="BE56" s="35"/>
      <c r="BF56" s="35">
        <v>12427</v>
      </c>
      <c r="BG56" s="35"/>
      <c r="BH56" s="35"/>
      <c r="BI56" s="35"/>
      <c r="BJ56" s="17">
        <f t="shared" si="6"/>
        <v>6519502</v>
      </c>
    </row>
    <row r="57" spans="1:62" s="135" customFormat="1" ht="12" hidden="1">
      <c r="A57" s="132" t="s">
        <v>246</v>
      </c>
      <c r="B57" s="132"/>
      <c r="C57" s="133">
        <f t="shared" si="1"/>
        <v>0</v>
      </c>
      <c r="D57" s="133"/>
      <c r="E57" s="133">
        <v>0</v>
      </c>
      <c r="F57" s="133"/>
      <c r="G57" s="133">
        <v>0</v>
      </c>
      <c r="H57" s="133"/>
      <c r="I57" s="133">
        <f t="shared" si="9"/>
        <v>0</v>
      </c>
      <c r="J57" s="133"/>
      <c r="K57" s="133">
        <f t="shared" si="11"/>
        <v>0</v>
      </c>
      <c r="L57" s="133"/>
      <c r="M57" s="133">
        <v>0</v>
      </c>
      <c r="N57" s="133"/>
      <c r="O57" s="133">
        <v>0</v>
      </c>
      <c r="P57" s="133"/>
      <c r="Q57" s="133">
        <v>0</v>
      </c>
      <c r="R57" s="133"/>
      <c r="S57" s="133">
        <v>0</v>
      </c>
      <c r="T57" s="133"/>
      <c r="U57" s="133">
        <f t="shared" si="2"/>
        <v>0</v>
      </c>
      <c r="V57" s="133">
        <f t="shared" si="10"/>
        <v>0</v>
      </c>
      <c r="W57" s="133"/>
      <c r="X57" s="132" t="s">
        <v>51</v>
      </c>
      <c r="Y57" s="133"/>
      <c r="Z57" s="133">
        <v>0</v>
      </c>
      <c r="AA57" s="133"/>
      <c r="AB57" s="133">
        <v>0</v>
      </c>
      <c r="AC57" s="133"/>
      <c r="AD57" s="133">
        <v>0</v>
      </c>
      <c r="AE57" s="133"/>
      <c r="AF57" s="133">
        <f t="shared" si="3"/>
        <v>0</v>
      </c>
      <c r="AG57" s="133"/>
      <c r="AH57" s="133">
        <v>0</v>
      </c>
      <c r="AI57" s="133"/>
      <c r="AJ57" s="133">
        <v>0</v>
      </c>
      <c r="AK57" s="133"/>
      <c r="AL57" s="133">
        <v>0</v>
      </c>
      <c r="AM57" s="133"/>
      <c r="AN57" s="133">
        <v>0</v>
      </c>
      <c r="AO57" s="133"/>
      <c r="AP57" s="133">
        <f t="shared" si="4"/>
        <v>0</v>
      </c>
      <c r="AQ57" s="133"/>
      <c r="AR57" s="133">
        <v>0</v>
      </c>
      <c r="AS57" s="133"/>
      <c r="AT57" s="133">
        <v>0</v>
      </c>
      <c r="AU57" s="133"/>
      <c r="AV57" s="133">
        <f t="shared" si="5"/>
        <v>0</v>
      </c>
      <c r="AW57" s="133"/>
      <c r="AX57" s="132" t="s">
        <v>51</v>
      </c>
      <c r="AY57" s="133"/>
      <c r="AZ57" s="133">
        <v>0</v>
      </c>
      <c r="BA57" s="133"/>
      <c r="BB57" s="133">
        <v>0</v>
      </c>
      <c r="BC57" s="133"/>
      <c r="BD57" s="133">
        <v>0</v>
      </c>
      <c r="BE57" s="133"/>
      <c r="BF57" s="133">
        <v>0</v>
      </c>
      <c r="BG57" s="133"/>
      <c r="BH57" s="133"/>
      <c r="BI57" s="133"/>
      <c r="BJ57" s="134">
        <f t="shared" si="6"/>
        <v>0</v>
      </c>
    </row>
    <row r="58" spans="1:62" s="36" customFormat="1" ht="12">
      <c r="A58" s="23" t="s">
        <v>183</v>
      </c>
      <c r="B58" s="23"/>
      <c r="C58" s="35">
        <f t="shared" si="1"/>
        <v>2385097</v>
      </c>
      <c r="D58" s="35"/>
      <c r="E58" s="35">
        <v>44983274</v>
      </c>
      <c r="F58" s="35"/>
      <c r="G58" s="35">
        <v>47368371</v>
      </c>
      <c r="H58" s="35"/>
      <c r="I58" s="35">
        <f>+M58-K58</f>
        <v>274622</v>
      </c>
      <c r="J58" s="35"/>
      <c r="K58" s="35">
        <f t="shared" si="11"/>
        <v>3544828</v>
      </c>
      <c r="L58" s="35"/>
      <c r="M58" s="35">
        <v>3819450</v>
      </c>
      <c r="N58" s="35"/>
      <c r="O58" s="35">
        <v>41250510</v>
      </c>
      <c r="P58" s="35"/>
      <c r="Q58" s="35">
        <v>0</v>
      </c>
      <c r="R58" s="35"/>
      <c r="S58" s="35">
        <v>2298411</v>
      </c>
      <c r="T58" s="35"/>
      <c r="U58" s="35">
        <f t="shared" si="2"/>
        <v>43548921</v>
      </c>
      <c r="V58" s="35">
        <f t="shared" si="10"/>
        <v>0</v>
      </c>
      <c r="W58" s="35"/>
      <c r="X58" s="23" t="s">
        <v>183</v>
      </c>
      <c r="Y58" s="35"/>
      <c r="Z58" s="35">
        <v>1560097</v>
      </c>
      <c r="AA58" s="35"/>
      <c r="AB58" s="35">
        <f>2870818-1790789</f>
        <v>1080029</v>
      </c>
      <c r="AC58" s="35"/>
      <c r="AD58" s="35">
        <v>1790789</v>
      </c>
      <c r="AE58" s="35"/>
      <c r="AF58" s="35">
        <f t="shared" si="3"/>
        <v>-1310721</v>
      </c>
      <c r="AG58" s="35"/>
      <c r="AH58" s="35">
        <v>-237830</v>
      </c>
      <c r="AI58" s="35"/>
      <c r="AJ58" s="35">
        <v>0</v>
      </c>
      <c r="AK58" s="35"/>
      <c r="AL58" s="35">
        <v>0</v>
      </c>
      <c r="AM58" s="35"/>
      <c r="AN58" s="35">
        <v>2879597</v>
      </c>
      <c r="AO58" s="35"/>
      <c r="AP58" s="35">
        <f t="shared" si="4"/>
        <v>1331046</v>
      </c>
      <c r="AQ58" s="35"/>
      <c r="AR58" s="35">
        <v>0</v>
      </c>
      <c r="AS58" s="35"/>
      <c r="AT58" s="35">
        <v>0</v>
      </c>
      <c r="AU58" s="35"/>
      <c r="AV58" s="35">
        <f t="shared" si="5"/>
        <v>2110475</v>
      </c>
      <c r="AW58" s="35"/>
      <c r="AX58" s="23" t="s">
        <v>183</v>
      </c>
      <c r="AY58" s="35"/>
      <c r="AZ58" s="35">
        <v>0</v>
      </c>
      <c r="BA58" s="35"/>
      <c r="BB58" s="35">
        <v>0</v>
      </c>
      <c r="BC58" s="35"/>
      <c r="BD58" s="35">
        <v>3544828</v>
      </c>
      <c r="BE58" s="35"/>
      <c r="BF58" s="35">
        <v>0</v>
      </c>
      <c r="BG58" s="35"/>
      <c r="BH58" s="35"/>
      <c r="BI58" s="35"/>
      <c r="BJ58" s="17">
        <f t="shared" si="6"/>
        <v>3544828</v>
      </c>
    </row>
    <row r="59" spans="1:62" s="36" customFormat="1" ht="12" hidden="1">
      <c r="A59" s="23" t="s">
        <v>52</v>
      </c>
      <c r="B59" s="23"/>
      <c r="C59" s="35">
        <f t="shared" si="1"/>
        <v>0</v>
      </c>
      <c r="D59" s="35"/>
      <c r="E59" s="35">
        <v>0</v>
      </c>
      <c r="F59" s="35"/>
      <c r="G59" s="35">
        <v>0</v>
      </c>
      <c r="H59" s="35"/>
      <c r="I59" s="35">
        <f t="shared" si="9"/>
        <v>0</v>
      </c>
      <c r="J59" s="35"/>
      <c r="K59" s="35">
        <f t="shared" si="11"/>
        <v>0</v>
      </c>
      <c r="L59" s="35"/>
      <c r="M59" s="35">
        <v>0</v>
      </c>
      <c r="N59" s="35"/>
      <c r="O59" s="35">
        <v>0</v>
      </c>
      <c r="P59" s="35"/>
      <c r="Q59" s="35">
        <v>0</v>
      </c>
      <c r="R59" s="35"/>
      <c r="S59" s="35">
        <v>0</v>
      </c>
      <c r="T59" s="35"/>
      <c r="U59" s="35">
        <f t="shared" si="2"/>
        <v>0</v>
      </c>
      <c r="V59" s="35">
        <f t="shared" si="10"/>
        <v>0</v>
      </c>
      <c r="W59" s="35"/>
      <c r="X59" s="23" t="s">
        <v>52</v>
      </c>
      <c r="Y59" s="35"/>
      <c r="Z59" s="35">
        <v>0</v>
      </c>
      <c r="AA59" s="35"/>
      <c r="AB59" s="35">
        <v>0</v>
      </c>
      <c r="AC59" s="35"/>
      <c r="AD59" s="35">
        <v>0</v>
      </c>
      <c r="AE59" s="35"/>
      <c r="AF59" s="35">
        <f t="shared" si="3"/>
        <v>0</v>
      </c>
      <c r="AG59" s="35"/>
      <c r="AH59" s="35">
        <v>0</v>
      </c>
      <c r="AI59" s="35"/>
      <c r="AJ59" s="35">
        <v>0</v>
      </c>
      <c r="AK59" s="35"/>
      <c r="AL59" s="35">
        <v>0</v>
      </c>
      <c r="AM59" s="35"/>
      <c r="AN59" s="35">
        <v>0</v>
      </c>
      <c r="AO59" s="35"/>
      <c r="AP59" s="35">
        <f t="shared" si="4"/>
        <v>0</v>
      </c>
      <c r="AQ59" s="35"/>
      <c r="AR59" s="35">
        <v>0</v>
      </c>
      <c r="AS59" s="35"/>
      <c r="AT59" s="35">
        <v>0</v>
      </c>
      <c r="AU59" s="35"/>
      <c r="AV59" s="35">
        <f t="shared" si="5"/>
        <v>0</v>
      </c>
      <c r="AW59" s="35"/>
      <c r="AX59" s="23" t="s">
        <v>52</v>
      </c>
      <c r="AY59" s="35"/>
      <c r="AZ59" s="35">
        <v>0</v>
      </c>
      <c r="BA59" s="35"/>
      <c r="BB59" s="35">
        <v>0</v>
      </c>
      <c r="BC59" s="35"/>
      <c r="BD59" s="35">
        <v>0</v>
      </c>
      <c r="BE59" s="35"/>
      <c r="BF59" s="35">
        <v>0</v>
      </c>
      <c r="BG59" s="35"/>
      <c r="BH59" s="35"/>
      <c r="BI59" s="35"/>
      <c r="BJ59" s="17">
        <f t="shared" si="6"/>
        <v>0</v>
      </c>
    </row>
    <row r="60" spans="1:62" s="36" customFormat="1" ht="12">
      <c r="A60" s="23" t="s">
        <v>53</v>
      </c>
      <c r="B60" s="23"/>
      <c r="C60" s="35">
        <f t="shared" si="1"/>
        <v>947109</v>
      </c>
      <c r="D60" s="35"/>
      <c r="E60" s="35">
        <v>13104432</v>
      </c>
      <c r="F60" s="35"/>
      <c r="G60" s="35">
        <v>14051541</v>
      </c>
      <c r="H60" s="35"/>
      <c r="I60" s="35">
        <f t="shared" si="9"/>
        <v>3850724</v>
      </c>
      <c r="J60" s="35"/>
      <c r="K60" s="35">
        <f t="shared" si="11"/>
        <v>205700</v>
      </c>
      <c r="L60" s="35"/>
      <c r="M60" s="35">
        <v>4056424</v>
      </c>
      <c r="N60" s="35"/>
      <c r="O60" s="35">
        <v>9099160</v>
      </c>
      <c r="P60" s="35"/>
      <c r="Q60" s="35">
        <v>0</v>
      </c>
      <c r="R60" s="35"/>
      <c r="S60" s="35">
        <v>895957</v>
      </c>
      <c r="T60" s="35"/>
      <c r="U60" s="35">
        <f t="shared" si="2"/>
        <v>9995117</v>
      </c>
      <c r="V60" s="35">
        <f t="shared" si="10"/>
        <v>0</v>
      </c>
      <c r="W60" s="35"/>
      <c r="X60" s="23" t="s">
        <v>53</v>
      </c>
      <c r="Y60" s="35"/>
      <c r="Z60" s="35">
        <v>609294</v>
      </c>
      <c r="AA60" s="35"/>
      <c r="AB60" s="35">
        <f>696302-281895</f>
        <v>414407</v>
      </c>
      <c r="AC60" s="35"/>
      <c r="AD60" s="35">
        <v>281895</v>
      </c>
      <c r="AE60" s="35"/>
      <c r="AF60" s="35">
        <f t="shared" si="3"/>
        <v>-87008</v>
      </c>
      <c r="AG60" s="35"/>
      <c r="AH60" s="35">
        <v>-129206</v>
      </c>
      <c r="AI60" s="35"/>
      <c r="AJ60" s="35">
        <v>248626</v>
      </c>
      <c r="AK60" s="35"/>
      <c r="AL60" s="35">
        <v>0</v>
      </c>
      <c r="AM60" s="35"/>
      <c r="AN60" s="35">
        <v>1783382</v>
      </c>
      <c r="AO60" s="35"/>
      <c r="AP60" s="35">
        <f t="shared" si="4"/>
        <v>1815794</v>
      </c>
      <c r="AQ60" s="35"/>
      <c r="AR60" s="35">
        <v>0</v>
      </c>
      <c r="AS60" s="35"/>
      <c r="AT60" s="35">
        <v>0</v>
      </c>
      <c r="AU60" s="35"/>
      <c r="AV60" s="35">
        <f t="shared" si="5"/>
        <v>-2903615</v>
      </c>
      <c r="AW60" s="35"/>
      <c r="AX60" s="23" t="s">
        <v>53</v>
      </c>
      <c r="AY60" s="35"/>
      <c r="AZ60" s="35">
        <v>1588</v>
      </c>
      <c r="BA60" s="35"/>
      <c r="BB60" s="35">
        <v>58411</v>
      </c>
      <c r="BC60" s="35"/>
      <c r="BD60" s="35">
        <v>120273</v>
      </c>
      <c r="BE60" s="35"/>
      <c r="BF60" s="35">
        <f>25428</f>
        <v>25428</v>
      </c>
      <c r="BG60" s="35"/>
      <c r="BH60" s="35"/>
      <c r="BI60" s="35"/>
      <c r="BJ60" s="17">
        <f t="shared" si="6"/>
        <v>205700</v>
      </c>
    </row>
    <row r="61" spans="1:256" s="36" customFormat="1" ht="12" hidden="1">
      <c r="A61" s="75" t="s">
        <v>54</v>
      </c>
      <c r="B61" s="75"/>
      <c r="C61" s="35">
        <f t="shared" si="1"/>
        <v>0</v>
      </c>
      <c r="D61" s="35"/>
      <c r="E61" s="35">
        <v>0</v>
      </c>
      <c r="F61" s="35"/>
      <c r="G61" s="35">
        <v>0</v>
      </c>
      <c r="H61" s="35"/>
      <c r="I61" s="35">
        <f t="shared" si="9"/>
        <v>0</v>
      </c>
      <c r="J61" s="35"/>
      <c r="K61" s="35">
        <f t="shared" si="11"/>
        <v>0</v>
      </c>
      <c r="L61" s="35"/>
      <c r="M61" s="35">
        <v>0</v>
      </c>
      <c r="N61" s="35"/>
      <c r="O61" s="35">
        <v>0</v>
      </c>
      <c r="P61" s="35"/>
      <c r="Q61" s="35">
        <v>0</v>
      </c>
      <c r="R61" s="35"/>
      <c r="S61" s="35">
        <v>0</v>
      </c>
      <c r="T61" s="35"/>
      <c r="U61" s="35">
        <f t="shared" si="2"/>
        <v>0</v>
      </c>
      <c r="V61" s="35">
        <f t="shared" si="10"/>
        <v>0</v>
      </c>
      <c r="W61" s="35"/>
      <c r="X61" s="75" t="s">
        <v>54</v>
      </c>
      <c r="Y61" s="35"/>
      <c r="Z61" s="35">
        <v>0</v>
      </c>
      <c r="AA61" s="35"/>
      <c r="AB61" s="35">
        <v>0</v>
      </c>
      <c r="AC61" s="35"/>
      <c r="AD61" s="35">
        <v>0</v>
      </c>
      <c r="AE61" s="35"/>
      <c r="AF61" s="35">
        <f t="shared" si="3"/>
        <v>0</v>
      </c>
      <c r="AG61" s="35"/>
      <c r="AH61" s="35">
        <v>0</v>
      </c>
      <c r="AI61" s="35"/>
      <c r="AJ61" s="35">
        <v>0</v>
      </c>
      <c r="AK61" s="35"/>
      <c r="AL61" s="35">
        <v>0</v>
      </c>
      <c r="AM61" s="35"/>
      <c r="AN61" s="35">
        <v>0</v>
      </c>
      <c r="AO61" s="35"/>
      <c r="AP61" s="35">
        <f t="shared" si="4"/>
        <v>0</v>
      </c>
      <c r="AQ61" s="35"/>
      <c r="AR61" s="35">
        <v>0</v>
      </c>
      <c r="AS61" s="35"/>
      <c r="AT61" s="35">
        <v>0</v>
      </c>
      <c r="AU61" s="35"/>
      <c r="AV61" s="35">
        <f t="shared" si="5"/>
        <v>0</v>
      </c>
      <c r="AW61" s="35"/>
      <c r="AX61" s="75" t="s">
        <v>54</v>
      </c>
      <c r="AY61" s="35"/>
      <c r="AZ61" s="35">
        <v>0</v>
      </c>
      <c r="BA61" s="35"/>
      <c r="BB61" s="35">
        <v>0</v>
      </c>
      <c r="BC61" s="35"/>
      <c r="BD61" s="35">
        <v>0</v>
      </c>
      <c r="BE61" s="35"/>
      <c r="BF61" s="35">
        <v>0</v>
      </c>
      <c r="BG61" s="35"/>
      <c r="BH61" s="35"/>
      <c r="BI61" s="35"/>
      <c r="BJ61" s="17">
        <f t="shared" si="6"/>
        <v>0</v>
      </c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</row>
    <row r="62" spans="1:62" s="36" customFormat="1" ht="12">
      <c r="A62" s="23" t="s">
        <v>55</v>
      </c>
      <c r="B62" s="23"/>
      <c r="C62" s="35">
        <f t="shared" si="1"/>
        <v>5218074</v>
      </c>
      <c r="D62" s="35"/>
      <c r="E62" s="35">
        <v>106001208</v>
      </c>
      <c r="F62" s="35"/>
      <c r="G62" s="35">
        <f>5218074+106001208</f>
        <v>111219282</v>
      </c>
      <c r="H62" s="35"/>
      <c r="I62" s="35">
        <f t="shared" si="9"/>
        <v>3935095</v>
      </c>
      <c r="J62" s="35"/>
      <c r="K62" s="35">
        <f t="shared" si="11"/>
        <v>48918794</v>
      </c>
      <c r="L62" s="35"/>
      <c r="M62" s="35">
        <v>52853889</v>
      </c>
      <c r="N62" s="35"/>
      <c r="O62" s="35">
        <v>52144532</v>
      </c>
      <c r="P62" s="35"/>
      <c r="Q62" s="35">
        <v>0</v>
      </c>
      <c r="R62" s="35"/>
      <c r="S62" s="35">
        <v>6220861</v>
      </c>
      <c r="T62" s="35"/>
      <c r="U62" s="35">
        <f t="shared" si="2"/>
        <v>58365393</v>
      </c>
      <c r="V62" s="35">
        <f t="shared" si="10"/>
        <v>0</v>
      </c>
      <c r="W62" s="35"/>
      <c r="X62" s="23" t="s">
        <v>55</v>
      </c>
      <c r="Y62" s="35"/>
      <c r="Z62" s="35">
        <v>7191740</v>
      </c>
      <c r="AA62" s="35"/>
      <c r="AB62" s="35">
        <f>5286270-1420668</f>
        <v>3865602</v>
      </c>
      <c r="AC62" s="35"/>
      <c r="AD62" s="35">
        <v>1420668</v>
      </c>
      <c r="AE62" s="35"/>
      <c r="AF62" s="35">
        <f t="shared" si="3"/>
        <v>1905470</v>
      </c>
      <c r="AG62" s="35"/>
      <c r="AH62" s="35">
        <v>-928672</v>
      </c>
      <c r="AI62" s="35"/>
      <c r="AJ62" s="35">
        <v>0</v>
      </c>
      <c r="AK62" s="35"/>
      <c r="AL62" s="35">
        <v>0</v>
      </c>
      <c r="AM62" s="35"/>
      <c r="AN62" s="35">
        <v>3064905</v>
      </c>
      <c r="AO62" s="35"/>
      <c r="AP62" s="35">
        <f>+AN62+AJ62+AH62+AF62-AL62</f>
        <v>4041703</v>
      </c>
      <c r="AQ62" s="35"/>
      <c r="AR62" s="35">
        <v>0</v>
      </c>
      <c r="AS62" s="35"/>
      <c r="AT62" s="35">
        <v>0</v>
      </c>
      <c r="AU62" s="35"/>
      <c r="AV62" s="35">
        <f t="shared" si="5"/>
        <v>1282979</v>
      </c>
      <c r="AW62" s="35"/>
      <c r="AX62" s="23" t="s">
        <v>55</v>
      </c>
      <c r="AY62" s="35"/>
      <c r="AZ62" s="35">
        <v>239341</v>
      </c>
      <c r="BA62" s="35"/>
      <c r="BB62" s="35">
        <v>0</v>
      </c>
      <c r="BC62" s="35"/>
      <c r="BD62" s="35">
        <f>48363422+209929</f>
        <v>48573351</v>
      </c>
      <c r="BE62" s="35"/>
      <c r="BF62" s="35">
        <v>106102</v>
      </c>
      <c r="BG62" s="35"/>
      <c r="BH62" s="35"/>
      <c r="BI62" s="35"/>
      <c r="BJ62" s="17">
        <f t="shared" si="6"/>
        <v>48918794</v>
      </c>
    </row>
    <row r="63" spans="1:62" s="36" customFormat="1" ht="12" hidden="1">
      <c r="A63" s="23" t="s">
        <v>171</v>
      </c>
      <c r="B63" s="23"/>
      <c r="C63" s="35">
        <f t="shared" si="1"/>
        <v>0</v>
      </c>
      <c r="D63" s="35"/>
      <c r="E63" s="35">
        <v>0</v>
      </c>
      <c r="F63" s="35"/>
      <c r="G63" s="35">
        <v>0</v>
      </c>
      <c r="H63" s="35"/>
      <c r="I63" s="35">
        <f t="shared" si="9"/>
        <v>0</v>
      </c>
      <c r="J63" s="35"/>
      <c r="K63" s="35">
        <f t="shared" si="11"/>
        <v>0</v>
      </c>
      <c r="L63" s="35"/>
      <c r="M63" s="35">
        <v>0</v>
      </c>
      <c r="N63" s="35"/>
      <c r="O63" s="35">
        <v>0</v>
      </c>
      <c r="P63" s="35"/>
      <c r="Q63" s="35">
        <v>0</v>
      </c>
      <c r="R63" s="35"/>
      <c r="S63" s="35">
        <v>0</v>
      </c>
      <c r="T63" s="35"/>
      <c r="U63" s="35">
        <f t="shared" si="2"/>
        <v>0</v>
      </c>
      <c r="V63" s="35">
        <f t="shared" si="10"/>
        <v>0</v>
      </c>
      <c r="W63" s="35"/>
      <c r="X63" s="23" t="s">
        <v>171</v>
      </c>
      <c r="Y63" s="35"/>
      <c r="Z63" s="35">
        <v>0</v>
      </c>
      <c r="AA63" s="35"/>
      <c r="AB63" s="35">
        <v>0</v>
      </c>
      <c r="AC63" s="35"/>
      <c r="AD63" s="35">
        <v>0</v>
      </c>
      <c r="AE63" s="35"/>
      <c r="AF63" s="35">
        <f t="shared" si="3"/>
        <v>0</v>
      </c>
      <c r="AG63" s="35"/>
      <c r="AH63" s="35">
        <v>0</v>
      </c>
      <c r="AI63" s="35"/>
      <c r="AJ63" s="35">
        <v>0</v>
      </c>
      <c r="AK63" s="35"/>
      <c r="AL63" s="35">
        <v>0</v>
      </c>
      <c r="AM63" s="35"/>
      <c r="AN63" s="35">
        <v>0</v>
      </c>
      <c r="AO63" s="35"/>
      <c r="AP63" s="35">
        <f t="shared" si="4"/>
        <v>0</v>
      </c>
      <c r="AQ63" s="35"/>
      <c r="AR63" s="35">
        <v>0</v>
      </c>
      <c r="AS63" s="35"/>
      <c r="AT63" s="35">
        <v>0</v>
      </c>
      <c r="AU63" s="35"/>
      <c r="AV63" s="35">
        <f t="shared" si="5"/>
        <v>0</v>
      </c>
      <c r="AW63" s="35"/>
      <c r="AX63" s="23" t="s">
        <v>171</v>
      </c>
      <c r="AY63" s="35"/>
      <c r="AZ63" s="35">
        <v>0</v>
      </c>
      <c r="BA63" s="35"/>
      <c r="BB63" s="35">
        <v>0</v>
      </c>
      <c r="BC63" s="35"/>
      <c r="BD63" s="35">
        <v>0</v>
      </c>
      <c r="BE63" s="35"/>
      <c r="BF63" s="35">
        <v>0</v>
      </c>
      <c r="BG63" s="35"/>
      <c r="BH63" s="35"/>
      <c r="BI63" s="35"/>
      <c r="BJ63" s="17">
        <f t="shared" si="6"/>
        <v>0</v>
      </c>
    </row>
    <row r="64" spans="1:62" s="36" customFormat="1" ht="12" hidden="1">
      <c r="A64" s="23" t="s">
        <v>56</v>
      </c>
      <c r="B64" s="23"/>
      <c r="C64" s="35">
        <f t="shared" si="1"/>
        <v>0</v>
      </c>
      <c r="D64" s="35"/>
      <c r="E64" s="35">
        <v>0</v>
      </c>
      <c r="F64" s="35"/>
      <c r="G64" s="35">
        <v>0</v>
      </c>
      <c r="H64" s="35"/>
      <c r="I64" s="35">
        <f t="shared" si="9"/>
        <v>0</v>
      </c>
      <c r="J64" s="35"/>
      <c r="K64" s="35">
        <f t="shared" si="11"/>
        <v>0</v>
      </c>
      <c r="L64" s="35"/>
      <c r="M64" s="35">
        <v>0</v>
      </c>
      <c r="N64" s="35"/>
      <c r="O64" s="35">
        <v>0</v>
      </c>
      <c r="P64" s="35"/>
      <c r="Q64" s="35">
        <v>0</v>
      </c>
      <c r="R64" s="35"/>
      <c r="S64" s="35">
        <v>0</v>
      </c>
      <c r="T64" s="35"/>
      <c r="U64" s="35">
        <f t="shared" si="2"/>
        <v>0</v>
      </c>
      <c r="V64" s="35">
        <f t="shared" si="10"/>
        <v>0</v>
      </c>
      <c r="W64" s="35"/>
      <c r="X64" s="23" t="s">
        <v>56</v>
      </c>
      <c r="Y64" s="35"/>
      <c r="Z64" s="35">
        <v>0</v>
      </c>
      <c r="AA64" s="35"/>
      <c r="AB64" s="35">
        <v>0</v>
      </c>
      <c r="AC64" s="35"/>
      <c r="AD64" s="35">
        <v>0</v>
      </c>
      <c r="AE64" s="35"/>
      <c r="AF64" s="35">
        <f t="shared" si="3"/>
        <v>0</v>
      </c>
      <c r="AG64" s="35"/>
      <c r="AH64" s="35">
        <v>0</v>
      </c>
      <c r="AI64" s="35"/>
      <c r="AJ64" s="35">
        <v>0</v>
      </c>
      <c r="AK64" s="35"/>
      <c r="AL64" s="35">
        <v>0</v>
      </c>
      <c r="AM64" s="35"/>
      <c r="AN64" s="35">
        <v>0</v>
      </c>
      <c r="AO64" s="35"/>
      <c r="AP64" s="35">
        <f t="shared" si="4"/>
        <v>0</v>
      </c>
      <c r="AQ64" s="35"/>
      <c r="AR64" s="35">
        <v>0</v>
      </c>
      <c r="AS64" s="35"/>
      <c r="AT64" s="35">
        <v>0</v>
      </c>
      <c r="AU64" s="35"/>
      <c r="AV64" s="35">
        <f t="shared" si="5"/>
        <v>0</v>
      </c>
      <c r="AW64" s="35"/>
      <c r="AX64" s="23" t="s">
        <v>56</v>
      </c>
      <c r="AY64" s="35"/>
      <c r="AZ64" s="35">
        <v>0</v>
      </c>
      <c r="BA64" s="35"/>
      <c r="BB64" s="35">
        <v>0</v>
      </c>
      <c r="BC64" s="35"/>
      <c r="BD64" s="35">
        <v>0</v>
      </c>
      <c r="BE64" s="35"/>
      <c r="BF64" s="35">
        <v>0</v>
      </c>
      <c r="BG64" s="35"/>
      <c r="BH64" s="35"/>
      <c r="BI64" s="35"/>
      <c r="BJ64" s="17">
        <f t="shared" si="6"/>
        <v>0</v>
      </c>
    </row>
    <row r="65" spans="1:62" s="36" customFormat="1" ht="12">
      <c r="A65" s="23" t="s">
        <v>57</v>
      </c>
      <c r="B65" s="23"/>
      <c r="C65" s="35">
        <f t="shared" si="1"/>
        <v>269361</v>
      </c>
      <c r="D65" s="35"/>
      <c r="E65" s="35">
        <v>4924496</v>
      </c>
      <c r="F65" s="35"/>
      <c r="G65" s="35">
        <v>5193857</v>
      </c>
      <c r="H65" s="35"/>
      <c r="I65" s="35">
        <f t="shared" si="9"/>
        <v>814846</v>
      </c>
      <c r="J65" s="35"/>
      <c r="K65" s="35">
        <f t="shared" si="11"/>
        <v>2707307</v>
      </c>
      <c r="L65" s="35"/>
      <c r="M65" s="35">
        <v>3522153</v>
      </c>
      <c r="N65" s="35"/>
      <c r="O65" s="35">
        <v>1718220</v>
      </c>
      <c r="P65" s="35"/>
      <c r="Q65" s="35">
        <v>0</v>
      </c>
      <c r="R65" s="35"/>
      <c r="S65" s="35">
        <v>-46516</v>
      </c>
      <c r="T65" s="35"/>
      <c r="U65" s="35">
        <f t="shared" si="2"/>
        <v>1671704</v>
      </c>
      <c r="V65" s="35">
        <f>G65-M65-U65</f>
        <v>0</v>
      </c>
      <c r="W65" s="35"/>
      <c r="X65" s="23" t="s">
        <v>57</v>
      </c>
      <c r="Y65" s="35"/>
      <c r="Z65" s="35">
        <v>1252273</v>
      </c>
      <c r="AA65" s="35"/>
      <c r="AB65" s="35">
        <f>1468951-141320</f>
        <v>1327631</v>
      </c>
      <c r="AC65" s="35"/>
      <c r="AD65" s="35">
        <v>141320</v>
      </c>
      <c r="AE65" s="35"/>
      <c r="AF65" s="35">
        <f t="shared" si="3"/>
        <v>-216678</v>
      </c>
      <c r="AG65" s="35"/>
      <c r="AH65" s="35">
        <v>-72060</v>
      </c>
      <c r="AI65" s="35"/>
      <c r="AJ65" s="35">
        <v>0</v>
      </c>
      <c r="AK65" s="35"/>
      <c r="AL65" s="35">
        <v>0</v>
      </c>
      <c r="AM65" s="35"/>
      <c r="AN65" s="35">
        <v>283298</v>
      </c>
      <c r="AO65" s="35"/>
      <c r="AP65" s="35">
        <f t="shared" si="4"/>
        <v>-5440</v>
      </c>
      <c r="AQ65" s="35"/>
      <c r="AR65" s="35">
        <v>0</v>
      </c>
      <c r="AS65" s="35"/>
      <c r="AT65" s="35">
        <v>0</v>
      </c>
      <c r="AU65" s="35"/>
      <c r="AV65" s="35">
        <f t="shared" si="5"/>
        <v>-545485</v>
      </c>
      <c r="AW65" s="35"/>
      <c r="AX65" s="23" t="s">
        <v>57</v>
      </c>
      <c r="AY65" s="35"/>
      <c r="AZ65" s="35">
        <v>2186811</v>
      </c>
      <c r="BA65" s="35"/>
      <c r="BB65" s="35">
        <v>0</v>
      </c>
      <c r="BC65" s="35"/>
      <c r="BD65" s="35">
        <v>495000</v>
      </c>
      <c r="BE65" s="35"/>
      <c r="BF65" s="35">
        <v>25496</v>
      </c>
      <c r="BG65" s="35"/>
      <c r="BH65" s="35"/>
      <c r="BI65" s="35"/>
      <c r="BJ65" s="17">
        <f t="shared" si="6"/>
        <v>2707307</v>
      </c>
    </row>
    <row r="66" spans="1:62" s="36" customFormat="1" ht="12" hidden="1">
      <c r="A66" s="23" t="s">
        <v>58</v>
      </c>
      <c r="B66" s="23"/>
      <c r="C66" s="35">
        <f t="shared" si="1"/>
        <v>0</v>
      </c>
      <c r="D66" s="35"/>
      <c r="E66" s="35">
        <v>0</v>
      </c>
      <c r="F66" s="35"/>
      <c r="G66" s="35">
        <v>0</v>
      </c>
      <c r="H66" s="35"/>
      <c r="I66" s="35">
        <f t="shared" si="9"/>
        <v>0</v>
      </c>
      <c r="J66" s="35"/>
      <c r="K66" s="35">
        <f t="shared" si="11"/>
        <v>0</v>
      </c>
      <c r="L66" s="35"/>
      <c r="M66" s="35">
        <v>0</v>
      </c>
      <c r="N66" s="35"/>
      <c r="O66" s="35">
        <v>0</v>
      </c>
      <c r="P66" s="35"/>
      <c r="Q66" s="35">
        <v>0</v>
      </c>
      <c r="R66" s="35"/>
      <c r="S66" s="35">
        <v>0</v>
      </c>
      <c r="T66" s="35"/>
      <c r="U66" s="35">
        <f t="shared" si="2"/>
        <v>0</v>
      </c>
      <c r="V66" s="35">
        <f t="shared" si="10"/>
        <v>0</v>
      </c>
      <c r="W66" s="35"/>
      <c r="X66" s="23" t="s">
        <v>58</v>
      </c>
      <c r="Y66" s="35"/>
      <c r="Z66" s="35">
        <v>0</v>
      </c>
      <c r="AA66" s="35"/>
      <c r="AB66" s="35">
        <v>0</v>
      </c>
      <c r="AC66" s="35"/>
      <c r="AD66" s="35">
        <v>0</v>
      </c>
      <c r="AE66" s="35"/>
      <c r="AF66" s="35">
        <f t="shared" si="3"/>
        <v>0</v>
      </c>
      <c r="AG66" s="35"/>
      <c r="AH66" s="35">
        <v>0</v>
      </c>
      <c r="AI66" s="35"/>
      <c r="AJ66" s="35">
        <v>0</v>
      </c>
      <c r="AK66" s="35"/>
      <c r="AL66" s="35">
        <v>0</v>
      </c>
      <c r="AM66" s="35"/>
      <c r="AN66" s="35">
        <v>0</v>
      </c>
      <c r="AO66" s="35"/>
      <c r="AP66" s="35">
        <f t="shared" si="4"/>
        <v>0</v>
      </c>
      <c r="AQ66" s="35"/>
      <c r="AR66" s="35">
        <v>0</v>
      </c>
      <c r="AS66" s="35"/>
      <c r="AT66" s="35">
        <v>0</v>
      </c>
      <c r="AU66" s="35"/>
      <c r="AV66" s="35">
        <f t="shared" si="5"/>
        <v>0</v>
      </c>
      <c r="AW66" s="35"/>
      <c r="AX66" s="23" t="s">
        <v>58</v>
      </c>
      <c r="AY66" s="35"/>
      <c r="AZ66" s="35">
        <v>0</v>
      </c>
      <c r="BA66" s="35"/>
      <c r="BB66" s="35">
        <v>0</v>
      </c>
      <c r="BC66" s="35"/>
      <c r="BD66" s="35">
        <v>0</v>
      </c>
      <c r="BE66" s="35"/>
      <c r="BF66" s="35">
        <v>0</v>
      </c>
      <c r="BG66" s="35"/>
      <c r="BH66" s="35"/>
      <c r="BI66" s="35"/>
      <c r="BJ66" s="17">
        <f t="shared" si="6"/>
        <v>0</v>
      </c>
    </row>
    <row r="67" spans="1:63" s="36" customFormat="1" ht="12">
      <c r="A67" s="23" t="s">
        <v>59</v>
      </c>
      <c r="B67" s="23"/>
      <c r="C67" s="35">
        <f t="shared" si="1"/>
        <v>49948902</v>
      </c>
      <c r="D67" s="35"/>
      <c r="E67" s="35">
        <v>114851550</v>
      </c>
      <c r="F67" s="35"/>
      <c r="G67" s="35">
        <v>164800452</v>
      </c>
      <c r="H67" s="35"/>
      <c r="I67" s="35">
        <f t="shared" si="9"/>
        <v>6910068</v>
      </c>
      <c r="J67" s="35"/>
      <c r="K67" s="35">
        <f t="shared" si="11"/>
        <v>34364538</v>
      </c>
      <c r="L67" s="35"/>
      <c r="M67" s="35">
        <v>41274606</v>
      </c>
      <c r="N67" s="35"/>
      <c r="O67" s="35">
        <v>80487396</v>
      </c>
      <c r="P67" s="35"/>
      <c r="Q67" s="35">
        <f>3086951+2147380</f>
        <v>5234331</v>
      </c>
      <c r="R67" s="35"/>
      <c r="S67" s="35">
        <v>37804119</v>
      </c>
      <c r="T67" s="35"/>
      <c r="U67" s="35">
        <f t="shared" si="2"/>
        <v>123525846</v>
      </c>
      <c r="V67" s="35">
        <f t="shared" si="10"/>
        <v>0</v>
      </c>
      <c r="W67" s="35"/>
      <c r="X67" s="23" t="s">
        <v>59</v>
      </c>
      <c r="Y67" s="35"/>
      <c r="Z67" s="35">
        <v>32901650</v>
      </c>
      <c r="AA67" s="35"/>
      <c r="AB67" s="35">
        <f>31505864-4165481</f>
        <v>27340383</v>
      </c>
      <c r="AC67" s="35"/>
      <c r="AD67" s="35">
        <v>4165481</v>
      </c>
      <c r="AE67" s="35"/>
      <c r="AF67" s="35">
        <f t="shared" si="3"/>
        <v>1395786</v>
      </c>
      <c r="AG67" s="35"/>
      <c r="AH67" s="35">
        <v>-1364892</v>
      </c>
      <c r="AI67" s="35"/>
      <c r="AJ67" s="35">
        <v>0</v>
      </c>
      <c r="AK67" s="35"/>
      <c r="AL67" s="35">
        <v>0</v>
      </c>
      <c r="AM67" s="35"/>
      <c r="AN67" s="35">
        <v>3297884</v>
      </c>
      <c r="AO67" s="35"/>
      <c r="AP67" s="35">
        <f t="shared" si="4"/>
        <v>3328778</v>
      </c>
      <c r="AQ67" s="35"/>
      <c r="AR67" s="35">
        <v>0</v>
      </c>
      <c r="AS67" s="35"/>
      <c r="AT67" s="35">
        <v>0</v>
      </c>
      <c r="AU67" s="35"/>
      <c r="AV67" s="35">
        <f t="shared" si="5"/>
        <v>43038834</v>
      </c>
      <c r="AW67" s="35"/>
      <c r="AX67" s="23" t="s">
        <v>59</v>
      </c>
      <c r="AY67" s="35"/>
      <c r="AZ67" s="35">
        <f>1774723-6831</f>
        <v>1767892</v>
      </c>
      <c r="BA67" s="35"/>
      <c r="BB67" s="35">
        <f>30190000-979690</f>
        <v>29210310</v>
      </c>
      <c r="BC67" s="35"/>
      <c r="BD67" s="35">
        <v>0</v>
      </c>
      <c r="BE67" s="35"/>
      <c r="BF67" s="35">
        <f>3011786+374550</f>
        <v>3386336</v>
      </c>
      <c r="BG67" s="35"/>
      <c r="BH67" s="35"/>
      <c r="BI67" s="35"/>
      <c r="BJ67" s="17">
        <f t="shared" si="6"/>
        <v>34364538</v>
      </c>
      <c r="BK67" s="17"/>
    </row>
    <row r="68" spans="1:62" s="36" customFormat="1" ht="12" hidden="1">
      <c r="A68" s="23" t="s">
        <v>60</v>
      </c>
      <c r="B68" s="23"/>
      <c r="C68" s="35">
        <f t="shared" si="1"/>
        <v>0</v>
      </c>
      <c r="D68" s="35"/>
      <c r="E68" s="35">
        <v>0</v>
      </c>
      <c r="F68" s="35"/>
      <c r="G68" s="35">
        <v>0</v>
      </c>
      <c r="H68" s="35"/>
      <c r="I68" s="35">
        <f t="shared" si="9"/>
        <v>0</v>
      </c>
      <c r="J68" s="35"/>
      <c r="K68" s="35">
        <f t="shared" si="11"/>
        <v>0</v>
      </c>
      <c r="L68" s="35"/>
      <c r="M68" s="35">
        <v>0</v>
      </c>
      <c r="N68" s="35"/>
      <c r="O68" s="35">
        <v>0</v>
      </c>
      <c r="P68" s="35"/>
      <c r="Q68" s="35">
        <v>0</v>
      </c>
      <c r="R68" s="35"/>
      <c r="S68" s="35">
        <v>0</v>
      </c>
      <c r="T68" s="35"/>
      <c r="U68" s="35">
        <f t="shared" si="2"/>
        <v>0</v>
      </c>
      <c r="V68" s="35">
        <f t="shared" si="10"/>
        <v>0</v>
      </c>
      <c r="W68" s="35"/>
      <c r="X68" s="23" t="s">
        <v>60</v>
      </c>
      <c r="Y68" s="35"/>
      <c r="Z68" s="35">
        <v>0</v>
      </c>
      <c r="AA68" s="35"/>
      <c r="AB68" s="35">
        <v>0</v>
      </c>
      <c r="AC68" s="35"/>
      <c r="AD68" s="35">
        <v>0</v>
      </c>
      <c r="AE68" s="35"/>
      <c r="AF68" s="35">
        <f t="shared" si="3"/>
        <v>0</v>
      </c>
      <c r="AG68" s="35"/>
      <c r="AH68" s="35">
        <v>0</v>
      </c>
      <c r="AI68" s="35"/>
      <c r="AJ68" s="35">
        <v>0</v>
      </c>
      <c r="AK68" s="35"/>
      <c r="AL68" s="35">
        <v>0</v>
      </c>
      <c r="AM68" s="35"/>
      <c r="AN68" s="35">
        <v>0</v>
      </c>
      <c r="AO68" s="35"/>
      <c r="AP68" s="35">
        <f t="shared" si="4"/>
        <v>0</v>
      </c>
      <c r="AQ68" s="35"/>
      <c r="AR68" s="35">
        <v>0</v>
      </c>
      <c r="AS68" s="35"/>
      <c r="AT68" s="35">
        <v>0</v>
      </c>
      <c r="AU68" s="35"/>
      <c r="AV68" s="35">
        <f t="shared" si="5"/>
        <v>0</v>
      </c>
      <c r="AW68" s="35"/>
      <c r="AX68" s="23" t="s">
        <v>60</v>
      </c>
      <c r="AY68" s="35"/>
      <c r="AZ68" s="35">
        <v>0</v>
      </c>
      <c r="BA68" s="35"/>
      <c r="BB68" s="35">
        <v>0</v>
      </c>
      <c r="BC68" s="35"/>
      <c r="BD68" s="35">
        <v>0</v>
      </c>
      <c r="BE68" s="35"/>
      <c r="BF68" s="35">
        <v>0</v>
      </c>
      <c r="BG68" s="35"/>
      <c r="BH68" s="35"/>
      <c r="BI68" s="35"/>
      <c r="BJ68" s="17">
        <f t="shared" si="6"/>
        <v>0</v>
      </c>
    </row>
    <row r="69" spans="1:62" s="36" customFormat="1" ht="12" hidden="1">
      <c r="A69" s="23" t="s">
        <v>97</v>
      </c>
      <c r="B69" s="23"/>
      <c r="C69" s="35">
        <f t="shared" si="1"/>
        <v>0</v>
      </c>
      <c r="D69" s="35"/>
      <c r="E69" s="35">
        <v>0</v>
      </c>
      <c r="F69" s="35"/>
      <c r="G69" s="35">
        <v>0</v>
      </c>
      <c r="H69" s="35"/>
      <c r="I69" s="35">
        <f t="shared" si="9"/>
        <v>0</v>
      </c>
      <c r="J69" s="35"/>
      <c r="K69" s="35">
        <v>0</v>
      </c>
      <c r="L69" s="35"/>
      <c r="M69" s="35">
        <v>0</v>
      </c>
      <c r="N69" s="35"/>
      <c r="O69" s="35">
        <v>0</v>
      </c>
      <c r="P69" s="35"/>
      <c r="Q69" s="35">
        <v>0</v>
      </c>
      <c r="R69" s="35"/>
      <c r="S69" s="35">
        <v>0</v>
      </c>
      <c r="T69" s="35"/>
      <c r="U69" s="35">
        <f t="shared" si="2"/>
        <v>0</v>
      </c>
      <c r="V69" s="35">
        <f t="shared" si="10"/>
        <v>0</v>
      </c>
      <c r="W69" s="35"/>
      <c r="X69" s="23" t="s">
        <v>97</v>
      </c>
      <c r="Y69" s="35"/>
      <c r="Z69" s="35">
        <v>0</v>
      </c>
      <c r="AA69" s="35"/>
      <c r="AB69" s="35">
        <v>0</v>
      </c>
      <c r="AC69" s="35"/>
      <c r="AD69" s="35">
        <v>0</v>
      </c>
      <c r="AE69" s="35"/>
      <c r="AF69" s="35">
        <f t="shared" si="3"/>
        <v>0</v>
      </c>
      <c r="AG69" s="35"/>
      <c r="AH69" s="35">
        <v>0</v>
      </c>
      <c r="AI69" s="35"/>
      <c r="AJ69" s="35">
        <v>0</v>
      </c>
      <c r="AK69" s="35"/>
      <c r="AL69" s="35">
        <v>0</v>
      </c>
      <c r="AM69" s="35"/>
      <c r="AN69" s="35">
        <v>0</v>
      </c>
      <c r="AO69" s="35"/>
      <c r="AP69" s="35">
        <f t="shared" si="4"/>
        <v>0</v>
      </c>
      <c r="AQ69" s="35"/>
      <c r="AR69" s="35">
        <v>0</v>
      </c>
      <c r="AS69" s="35"/>
      <c r="AT69" s="35">
        <v>0</v>
      </c>
      <c r="AU69" s="35"/>
      <c r="AV69" s="35">
        <f t="shared" si="5"/>
        <v>0</v>
      </c>
      <c r="AW69" s="35"/>
      <c r="AX69" s="23" t="s">
        <v>97</v>
      </c>
      <c r="AY69" s="35"/>
      <c r="AZ69" s="35">
        <v>0</v>
      </c>
      <c r="BA69" s="35"/>
      <c r="BB69" s="35">
        <v>0</v>
      </c>
      <c r="BC69" s="35"/>
      <c r="BD69" s="35">
        <v>0</v>
      </c>
      <c r="BE69" s="35"/>
      <c r="BF69" s="35">
        <v>0</v>
      </c>
      <c r="BG69" s="35"/>
      <c r="BH69" s="35"/>
      <c r="BI69" s="35"/>
      <c r="BJ69" s="17">
        <f t="shared" si="6"/>
        <v>0</v>
      </c>
    </row>
    <row r="70" spans="1:62" s="36" customFormat="1" ht="12">
      <c r="A70" s="23" t="s">
        <v>61</v>
      </c>
      <c r="B70" s="23"/>
      <c r="C70" s="35">
        <f t="shared" si="1"/>
        <v>2362138</v>
      </c>
      <c r="D70" s="35"/>
      <c r="E70" s="35">
        <v>22827889</v>
      </c>
      <c r="F70" s="35"/>
      <c r="G70" s="35">
        <v>25190027</v>
      </c>
      <c r="H70" s="35"/>
      <c r="I70" s="35">
        <f t="shared" si="9"/>
        <v>897124</v>
      </c>
      <c r="J70" s="35"/>
      <c r="K70" s="35">
        <f t="shared" si="11"/>
        <v>9572710</v>
      </c>
      <c r="L70" s="35"/>
      <c r="M70" s="35">
        <v>10469834</v>
      </c>
      <c r="N70" s="35"/>
      <c r="O70" s="35">
        <v>12398255</v>
      </c>
      <c r="P70" s="35"/>
      <c r="Q70" s="35">
        <v>0</v>
      </c>
      <c r="R70" s="35"/>
      <c r="S70" s="35">
        <v>2321938</v>
      </c>
      <c r="T70" s="35"/>
      <c r="U70" s="35">
        <f t="shared" si="2"/>
        <v>14720193</v>
      </c>
      <c r="V70" s="35">
        <f t="shared" si="10"/>
        <v>0</v>
      </c>
      <c r="W70" s="35"/>
      <c r="X70" s="23" t="s">
        <v>61</v>
      </c>
      <c r="Y70" s="35"/>
      <c r="Z70" s="35">
        <v>3124131</v>
      </c>
      <c r="AA70" s="35"/>
      <c r="AB70" s="35">
        <f>2420589-867923</f>
        <v>1552666</v>
      </c>
      <c r="AC70" s="35"/>
      <c r="AD70" s="35">
        <v>867923</v>
      </c>
      <c r="AE70" s="35"/>
      <c r="AF70" s="35">
        <f t="shared" si="3"/>
        <v>703542</v>
      </c>
      <c r="AG70" s="35"/>
      <c r="AH70" s="35">
        <v>-334497</v>
      </c>
      <c r="AI70" s="35"/>
      <c r="AJ70" s="35">
        <v>1083</v>
      </c>
      <c r="AK70" s="35"/>
      <c r="AL70" s="35">
        <v>0</v>
      </c>
      <c r="AM70" s="35"/>
      <c r="AN70" s="35">
        <f>3400+99945</f>
        <v>103345</v>
      </c>
      <c r="AO70" s="35"/>
      <c r="AP70" s="35">
        <f t="shared" si="4"/>
        <v>473473</v>
      </c>
      <c r="AQ70" s="35"/>
      <c r="AR70" s="35">
        <v>0</v>
      </c>
      <c r="AS70" s="35"/>
      <c r="AT70" s="35">
        <v>0</v>
      </c>
      <c r="AU70" s="35"/>
      <c r="AV70" s="35">
        <f t="shared" si="5"/>
        <v>1465014</v>
      </c>
      <c r="AW70" s="35"/>
      <c r="AX70" s="23" t="s">
        <v>61</v>
      </c>
      <c r="AY70" s="35"/>
      <c r="AZ70" s="35">
        <v>6164033</v>
      </c>
      <c r="BA70" s="35"/>
      <c r="BB70" s="35">
        <v>0</v>
      </c>
      <c r="BC70" s="35"/>
      <c r="BD70" s="35">
        <v>3387232</v>
      </c>
      <c r="BE70" s="35"/>
      <c r="BF70" s="35">
        <v>21445</v>
      </c>
      <c r="BG70" s="35"/>
      <c r="BH70" s="35"/>
      <c r="BI70" s="35"/>
      <c r="BJ70" s="17">
        <f t="shared" si="6"/>
        <v>9572710</v>
      </c>
    </row>
    <row r="71" spans="1:62" s="36" customFormat="1" ht="12" hidden="1">
      <c r="A71" s="23" t="s">
        <v>62</v>
      </c>
      <c r="B71" s="23"/>
      <c r="C71" s="35">
        <f t="shared" si="1"/>
        <v>0</v>
      </c>
      <c r="D71" s="35"/>
      <c r="E71" s="35">
        <v>0</v>
      </c>
      <c r="F71" s="35"/>
      <c r="G71" s="35">
        <v>0</v>
      </c>
      <c r="H71" s="35"/>
      <c r="I71" s="35">
        <f t="shared" si="9"/>
        <v>0</v>
      </c>
      <c r="J71" s="35"/>
      <c r="K71" s="35">
        <f t="shared" si="11"/>
        <v>0</v>
      </c>
      <c r="L71" s="35"/>
      <c r="M71" s="35">
        <v>0</v>
      </c>
      <c r="N71" s="35"/>
      <c r="O71" s="35">
        <v>0</v>
      </c>
      <c r="P71" s="35"/>
      <c r="Q71" s="35">
        <v>0</v>
      </c>
      <c r="R71" s="35"/>
      <c r="S71" s="35">
        <v>0</v>
      </c>
      <c r="T71" s="35"/>
      <c r="U71" s="35">
        <f t="shared" si="2"/>
        <v>0</v>
      </c>
      <c r="V71" s="35">
        <f t="shared" si="10"/>
        <v>0</v>
      </c>
      <c r="W71" s="35"/>
      <c r="X71" s="23" t="s">
        <v>62</v>
      </c>
      <c r="Y71" s="35"/>
      <c r="Z71" s="35">
        <v>0</v>
      </c>
      <c r="AA71" s="35"/>
      <c r="AB71" s="35">
        <v>0</v>
      </c>
      <c r="AC71" s="35"/>
      <c r="AD71" s="35">
        <v>0</v>
      </c>
      <c r="AE71" s="35"/>
      <c r="AF71" s="35">
        <f t="shared" si="3"/>
        <v>0</v>
      </c>
      <c r="AG71" s="35"/>
      <c r="AH71" s="35">
        <v>0</v>
      </c>
      <c r="AI71" s="35"/>
      <c r="AJ71" s="35">
        <v>0</v>
      </c>
      <c r="AK71" s="35"/>
      <c r="AL71" s="35">
        <v>0</v>
      </c>
      <c r="AM71" s="35"/>
      <c r="AN71" s="35">
        <v>0</v>
      </c>
      <c r="AO71" s="35"/>
      <c r="AP71" s="35">
        <f t="shared" si="4"/>
        <v>0</v>
      </c>
      <c r="AQ71" s="35"/>
      <c r="AR71" s="35">
        <v>0</v>
      </c>
      <c r="AS71" s="35"/>
      <c r="AT71" s="35">
        <v>0</v>
      </c>
      <c r="AU71" s="35"/>
      <c r="AV71" s="35">
        <f t="shared" si="5"/>
        <v>0</v>
      </c>
      <c r="AW71" s="35"/>
      <c r="AX71" s="23" t="s">
        <v>62</v>
      </c>
      <c r="AY71" s="35"/>
      <c r="AZ71" s="35">
        <v>0</v>
      </c>
      <c r="BA71" s="35"/>
      <c r="BB71" s="35">
        <v>0</v>
      </c>
      <c r="BC71" s="35"/>
      <c r="BD71" s="35">
        <v>0</v>
      </c>
      <c r="BE71" s="35"/>
      <c r="BF71" s="35">
        <v>0</v>
      </c>
      <c r="BG71" s="35"/>
      <c r="BH71" s="35"/>
      <c r="BI71" s="35"/>
      <c r="BJ71" s="17">
        <f t="shared" si="6"/>
        <v>0</v>
      </c>
    </row>
    <row r="72" spans="1:62" s="36" customFormat="1" ht="12">
      <c r="A72" s="23" t="s">
        <v>63</v>
      </c>
      <c r="B72" s="23"/>
      <c r="C72" s="35">
        <f t="shared" si="1"/>
        <v>6588250</v>
      </c>
      <c r="D72" s="35"/>
      <c r="E72" s="35">
        <v>66237790</v>
      </c>
      <c r="F72" s="35"/>
      <c r="G72" s="35">
        <v>72826040</v>
      </c>
      <c r="H72" s="35"/>
      <c r="I72" s="35">
        <f t="shared" si="9"/>
        <v>2625737</v>
      </c>
      <c r="J72" s="35"/>
      <c r="K72" s="35">
        <f t="shared" si="11"/>
        <v>29241266</v>
      </c>
      <c r="L72" s="35"/>
      <c r="M72" s="35">
        <v>31867003</v>
      </c>
      <c r="N72" s="35"/>
      <c r="O72" s="35">
        <v>35018305</v>
      </c>
      <c r="P72" s="35"/>
      <c r="Q72" s="35">
        <v>0</v>
      </c>
      <c r="R72" s="35"/>
      <c r="S72" s="35">
        <v>5940732</v>
      </c>
      <c r="T72" s="35"/>
      <c r="U72" s="35">
        <f t="shared" si="2"/>
        <v>40959037</v>
      </c>
      <c r="V72" s="35">
        <f t="shared" si="10"/>
        <v>0</v>
      </c>
      <c r="W72" s="35"/>
      <c r="X72" s="23" t="s">
        <v>63</v>
      </c>
      <c r="Y72" s="35"/>
      <c r="Z72" s="35">
        <v>4949839</v>
      </c>
      <c r="AA72" s="35"/>
      <c r="AB72" s="35">
        <f>3684110-1681680</f>
        <v>2002430</v>
      </c>
      <c r="AC72" s="35"/>
      <c r="AD72" s="35">
        <v>1681680</v>
      </c>
      <c r="AE72" s="35"/>
      <c r="AF72" s="35">
        <f t="shared" si="3"/>
        <v>1265729</v>
      </c>
      <c r="AG72" s="35"/>
      <c r="AH72" s="35">
        <v>531214</v>
      </c>
      <c r="AI72" s="35"/>
      <c r="AJ72" s="35">
        <v>363873</v>
      </c>
      <c r="AK72" s="35"/>
      <c r="AL72" s="35">
        <v>2395103</v>
      </c>
      <c r="AM72" s="35"/>
      <c r="AN72" s="35">
        <v>160137</v>
      </c>
      <c r="AO72" s="35"/>
      <c r="AP72" s="35">
        <f t="shared" si="4"/>
        <v>-74150</v>
      </c>
      <c r="AQ72" s="35"/>
      <c r="AR72" s="35">
        <v>0</v>
      </c>
      <c r="AS72" s="35"/>
      <c r="AT72" s="35">
        <v>0</v>
      </c>
      <c r="AU72" s="35"/>
      <c r="AV72" s="35">
        <f t="shared" si="5"/>
        <v>3962513</v>
      </c>
      <c r="AW72" s="35"/>
      <c r="AX72" s="23" t="s">
        <v>63</v>
      </c>
      <c r="AY72" s="35"/>
      <c r="AZ72" s="35">
        <v>1745500</v>
      </c>
      <c r="BA72" s="35"/>
      <c r="BB72" s="35">
        <v>0</v>
      </c>
      <c r="BC72" s="35"/>
      <c r="BD72" s="35">
        <f>23990509+206500+1065904+2191005</f>
        <v>27453918</v>
      </c>
      <c r="BE72" s="35"/>
      <c r="BF72" s="35">
        <v>41848</v>
      </c>
      <c r="BG72" s="35"/>
      <c r="BH72" s="35"/>
      <c r="BI72" s="35"/>
      <c r="BJ72" s="17">
        <f t="shared" si="6"/>
        <v>29241266</v>
      </c>
    </row>
    <row r="73" spans="1:62" s="36" customFormat="1" ht="12" hidden="1">
      <c r="A73" s="23" t="s">
        <v>132</v>
      </c>
      <c r="B73" s="23"/>
      <c r="C73" s="35">
        <f t="shared" si="1"/>
        <v>0</v>
      </c>
      <c r="D73" s="35"/>
      <c r="E73" s="35">
        <v>0</v>
      </c>
      <c r="F73" s="35"/>
      <c r="G73" s="35">
        <v>0</v>
      </c>
      <c r="H73" s="35"/>
      <c r="I73" s="35">
        <f t="shared" si="9"/>
        <v>0</v>
      </c>
      <c r="J73" s="35"/>
      <c r="K73" s="35">
        <f t="shared" si="11"/>
        <v>0</v>
      </c>
      <c r="L73" s="35"/>
      <c r="M73" s="35">
        <v>0</v>
      </c>
      <c r="N73" s="35"/>
      <c r="O73" s="35">
        <v>0</v>
      </c>
      <c r="P73" s="35"/>
      <c r="Q73" s="35">
        <v>0</v>
      </c>
      <c r="R73" s="35"/>
      <c r="S73" s="35">
        <v>0</v>
      </c>
      <c r="T73" s="35"/>
      <c r="U73" s="35">
        <f t="shared" si="2"/>
        <v>0</v>
      </c>
      <c r="V73" s="35">
        <f t="shared" si="10"/>
        <v>0</v>
      </c>
      <c r="W73" s="35"/>
      <c r="X73" s="23" t="s">
        <v>132</v>
      </c>
      <c r="Y73" s="35"/>
      <c r="Z73" s="35">
        <v>0</v>
      </c>
      <c r="AA73" s="35"/>
      <c r="AB73" s="35">
        <v>0</v>
      </c>
      <c r="AC73" s="35"/>
      <c r="AD73" s="35">
        <v>0</v>
      </c>
      <c r="AE73" s="35"/>
      <c r="AF73" s="35">
        <f t="shared" si="3"/>
        <v>0</v>
      </c>
      <c r="AG73" s="35"/>
      <c r="AH73" s="35">
        <v>0</v>
      </c>
      <c r="AI73" s="35"/>
      <c r="AJ73" s="35">
        <v>0</v>
      </c>
      <c r="AK73" s="35"/>
      <c r="AL73" s="35">
        <v>0</v>
      </c>
      <c r="AM73" s="35"/>
      <c r="AN73" s="35">
        <v>0</v>
      </c>
      <c r="AO73" s="35"/>
      <c r="AP73" s="35">
        <f t="shared" si="4"/>
        <v>0</v>
      </c>
      <c r="AQ73" s="35"/>
      <c r="AR73" s="35">
        <v>0</v>
      </c>
      <c r="AS73" s="35"/>
      <c r="AT73" s="35">
        <v>0</v>
      </c>
      <c r="AU73" s="35"/>
      <c r="AV73" s="35">
        <f t="shared" si="5"/>
        <v>0</v>
      </c>
      <c r="AW73" s="35"/>
      <c r="AX73" s="23" t="s">
        <v>132</v>
      </c>
      <c r="AY73" s="35"/>
      <c r="AZ73" s="35">
        <v>0</v>
      </c>
      <c r="BA73" s="35"/>
      <c r="BB73" s="35">
        <v>0</v>
      </c>
      <c r="BC73" s="35"/>
      <c r="BD73" s="35">
        <v>0</v>
      </c>
      <c r="BE73" s="35"/>
      <c r="BF73" s="35">
        <v>0</v>
      </c>
      <c r="BG73" s="35"/>
      <c r="BH73" s="35"/>
      <c r="BI73" s="35"/>
      <c r="BJ73" s="17">
        <f t="shared" si="6"/>
        <v>0</v>
      </c>
    </row>
    <row r="74" spans="1:66" s="36" customFormat="1" ht="12" hidden="1">
      <c r="A74" s="23" t="s">
        <v>64</v>
      </c>
      <c r="B74" s="23"/>
      <c r="C74" s="35">
        <f t="shared" si="1"/>
        <v>0</v>
      </c>
      <c r="D74" s="35"/>
      <c r="E74" s="35">
        <v>0</v>
      </c>
      <c r="F74" s="35"/>
      <c r="G74" s="35">
        <v>0</v>
      </c>
      <c r="H74" s="35"/>
      <c r="I74" s="35">
        <f t="shared" si="9"/>
        <v>0</v>
      </c>
      <c r="J74" s="35"/>
      <c r="K74" s="35">
        <f t="shared" si="11"/>
        <v>0</v>
      </c>
      <c r="L74" s="35"/>
      <c r="M74" s="35">
        <v>0</v>
      </c>
      <c r="N74" s="35"/>
      <c r="O74" s="35">
        <v>0</v>
      </c>
      <c r="P74" s="35"/>
      <c r="Q74" s="35">
        <v>0</v>
      </c>
      <c r="R74" s="35"/>
      <c r="S74" s="35">
        <v>0</v>
      </c>
      <c r="T74" s="35"/>
      <c r="U74" s="35">
        <f t="shared" si="2"/>
        <v>0</v>
      </c>
      <c r="V74" s="35">
        <f t="shared" si="10"/>
        <v>0</v>
      </c>
      <c r="W74" s="35"/>
      <c r="X74" s="23" t="s">
        <v>64</v>
      </c>
      <c r="Y74" s="35"/>
      <c r="Z74" s="35">
        <v>0</v>
      </c>
      <c r="AA74" s="35"/>
      <c r="AB74" s="35">
        <v>0</v>
      </c>
      <c r="AC74" s="35"/>
      <c r="AD74" s="35">
        <v>0</v>
      </c>
      <c r="AE74" s="35"/>
      <c r="AF74" s="35">
        <f t="shared" si="3"/>
        <v>0</v>
      </c>
      <c r="AG74" s="35"/>
      <c r="AH74" s="35">
        <v>0</v>
      </c>
      <c r="AI74" s="35"/>
      <c r="AJ74" s="35">
        <v>0</v>
      </c>
      <c r="AK74" s="35"/>
      <c r="AL74" s="35">
        <v>0</v>
      </c>
      <c r="AM74" s="35"/>
      <c r="AN74" s="35">
        <v>0</v>
      </c>
      <c r="AO74" s="35"/>
      <c r="AP74" s="35">
        <f t="shared" si="4"/>
        <v>0</v>
      </c>
      <c r="AQ74" s="35"/>
      <c r="AR74" s="35">
        <v>0</v>
      </c>
      <c r="AS74" s="35"/>
      <c r="AT74" s="35">
        <v>0</v>
      </c>
      <c r="AU74" s="35"/>
      <c r="AV74" s="35">
        <f t="shared" si="5"/>
        <v>0</v>
      </c>
      <c r="AW74" s="35"/>
      <c r="AX74" s="23" t="s">
        <v>64</v>
      </c>
      <c r="AY74" s="35"/>
      <c r="AZ74" s="35">
        <v>0</v>
      </c>
      <c r="BA74" s="35"/>
      <c r="BB74" s="35">
        <v>0</v>
      </c>
      <c r="BC74" s="35"/>
      <c r="BD74" s="35">
        <v>0</v>
      </c>
      <c r="BE74" s="35"/>
      <c r="BF74" s="35">
        <v>0</v>
      </c>
      <c r="BG74" s="35"/>
      <c r="BH74" s="35"/>
      <c r="BI74" s="35"/>
      <c r="BJ74" s="17">
        <f t="shared" si="6"/>
        <v>0</v>
      </c>
      <c r="BL74" s="77"/>
      <c r="BM74" s="77"/>
      <c r="BN74" s="77"/>
    </row>
    <row r="75" spans="1:66" s="36" customFormat="1" ht="12" hidden="1">
      <c r="A75" s="23" t="s">
        <v>65</v>
      </c>
      <c r="B75" s="23"/>
      <c r="C75" s="35">
        <f t="shared" si="1"/>
        <v>0</v>
      </c>
      <c r="D75" s="35"/>
      <c r="E75" s="35">
        <v>0</v>
      </c>
      <c r="F75" s="35"/>
      <c r="G75" s="35">
        <v>0</v>
      </c>
      <c r="H75" s="35"/>
      <c r="I75" s="35">
        <f t="shared" si="9"/>
        <v>0</v>
      </c>
      <c r="J75" s="35"/>
      <c r="K75" s="35">
        <f t="shared" si="11"/>
        <v>0</v>
      </c>
      <c r="L75" s="35"/>
      <c r="M75" s="35">
        <v>0</v>
      </c>
      <c r="N75" s="35"/>
      <c r="O75" s="35">
        <v>0</v>
      </c>
      <c r="P75" s="35"/>
      <c r="Q75" s="35">
        <v>0</v>
      </c>
      <c r="R75" s="35"/>
      <c r="S75" s="35">
        <v>0</v>
      </c>
      <c r="T75" s="35"/>
      <c r="U75" s="35">
        <f t="shared" si="2"/>
        <v>0</v>
      </c>
      <c r="V75" s="35">
        <f t="shared" si="10"/>
        <v>0</v>
      </c>
      <c r="W75" s="35"/>
      <c r="X75" s="23" t="s">
        <v>65</v>
      </c>
      <c r="Y75" s="35"/>
      <c r="Z75" s="35">
        <v>0</v>
      </c>
      <c r="AA75" s="35"/>
      <c r="AB75" s="35">
        <v>0</v>
      </c>
      <c r="AC75" s="35"/>
      <c r="AD75" s="35">
        <v>0</v>
      </c>
      <c r="AE75" s="35"/>
      <c r="AF75" s="35">
        <f t="shared" si="3"/>
        <v>0</v>
      </c>
      <c r="AG75" s="35"/>
      <c r="AH75" s="35">
        <v>0</v>
      </c>
      <c r="AI75" s="35"/>
      <c r="AJ75" s="35">
        <v>0</v>
      </c>
      <c r="AK75" s="35"/>
      <c r="AL75" s="35">
        <v>0</v>
      </c>
      <c r="AM75" s="35"/>
      <c r="AN75" s="35">
        <v>0</v>
      </c>
      <c r="AO75" s="35"/>
      <c r="AP75" s="35">
        <f t="shared" si="4"/>
        <v>0</v>
      </c>
      <c r="AQ75" s="35"/>
      <c r="AR75" s="35">
        <v>0</v>
      </c>
      <c r="AS75" s="35"/>
      <c r="AT75" s="35">
        <v>0</v>
      </c>
      <c r="AU75" s="35"/>
      <c r="AV75" s="35">
        <f t="shared" si="5"/>
        <v>0</v>
      </c>
      <c r="AW75" s="35"/>
      <c r="AX75" s="23" t="s">
        <v>65</v>
      </c>
      <c r="AY75" s="35"/>
      <c r="AZ75" s="35">
        <v>0</v>
      </c>
      <c r="BA75" s="35"/>
      <c r="BB75" s="35">
        <v>0</v>
      </c>
      <c r="BC75" s="35"/>
      <c r="BD75" s="35">
        <v>0</v>
      </c>
      <c r="BE75" s="35"/>
      <c r="BF75" s="35">
        <v>0</v>
      </c>
      <c r="BG75" s="35"/>
      <c r="BH75" s="35"/>
      <c r="BI75" s="35"/>
      <c r="BJ75" s="17">
        <f t="shared" si="6"/>
        <v>0</v>
      </c>
      <c r="BL75" s="77"/>
      <c r="BM75" s="77"/>
      <c r="BN75" s="77"/>
    </row>
    <row r="76" spans="1:62" s="36" customFormat="1" ht="12" hidden="1">
      <c r="A76" s="23" t="s">
        <v>66</v>
      </c>
      <c r="B76" s="23"/>
      <c r="C76" s="35">
        <f t="shared" si="1"/>
        <v>0</v>
      </c>
      <c r="D76" s="35"/>
      <c r="E76" s="35">
        <v>0</v>
      </c>
      <c r="F76" s="35"/>
      <c r="G76" s="35">
        <v>0</v>
      </c>
      <c r="H76" s="35"/>
      <c r="I76" s="35">
        <f t="shared" si="9"/>
        <v>0</v>
      </c>
      <c r="J76" s="35"/>
      <c r="K76" s="35">
        <f t="shared" si="11"/>
        <v>0</v>
      </c>
      <c r="L76" s="35"/>
      <c r="M76" s="35">
        <v>0</v>
      </c>
      <c r="N76" s="35"/>
      <c r="O76" s="35">
        <v>0</v>
      </c>
      <c r="P76" s="35"/>
      <c r="Q76" s="35">
        <v>0</v>
      </c>
      <c r="R76" s="35"/>
      <c r="S76" s="35">
        <v>0</v>
      </c>
      <c r="T76" s="35"/>
      <c r="U76" s="35">
        <f t="shared" si="2"/>
        <v>0</v>
      </c>
      <c r="V76" s="35">
        <f t="shared" si="10"/>
        <v>0</v>
      </c>
      <c r="W76" s="35"/>
      <c r="X76" s="23" t="s">
        <v>66</v>
      </c>
      <c r="Y76" s="35"/>
      <c r="Z76" s="35">
        <v>0</v>
      </c>
      <c r="AA76" s="35"/>
      <c r="AB76" s="35">
        <v>0</v>
      </c>
      <c r="AC76" s="35"/>
      <c r="AD76" s="35">
        <v>0</v>
      </c>
      <c r="AE76" s="35"/>
      <c r="AF76" s="35">
        <f t="shared" si="3"/>
        <v>0</v>
      </c>
      <c r="AG76" s="35"/>
      <c r="AH76" s="35">
        <v>0</v>
      </c>
      <c r="AI76" s="35"/>
      <c r="AJ76" s="35">
        <v>0</v>
      </c>
      <c r="AK76" s="35"/>
      <c r="AL76" s="35">
        <v>0</v>
      </c>
      <c r="AM76" s="35"/>
      <c r="AN76" s="35">
        <v>0</v>
      </c>
      <c r="AO76" s="35"/>
      <c r="AP76" s="35">
        <f t="shared" si="4"/>
        <v>0</v>
      </c>
      <c r="AQ76" s="35"/>
      <c r="AR76" s="35">
        <v>0</v>
      </c>
      <c r="AS76" s="35"/>
      <c r="AT76" s="35">
        <v>0</v>
      </c>
      <c r="AU76" s="35"/>
      <c r="AV76" s="35">
        <f t="shared" si="5"/>
        <v>0</v>
      </c>
      <c r="AW76" s="35"/>
      <c r="AX76" s="23" t="s">
        <v>66</v>
      </c>
      <c r="AY76" s="35"/>
      <c r="AZ76" s="35">
        <v>0</v>
      </c>
      <c r="BA76" s="35"/>
      <c r="BB76" s="35">
        <v>0</v>
      </c>
      <c r="BC76" s="35"/>
      <c r="BD76" s="35">
        <v>0</v>
      </c>
      <c r="BE76" s="35"/>
      <c r="BF76" s="35">
        <v>0</v>
      </c>
      <c r="BG76" s="35"/>
      <c r="BH76" s="35"/>
      <c r="BI76" s="35"/>
      <c r="BJ76" s="17">
        <f t="shared" si="6"/>
        <v>0</v>
      </c>
    </row>
    <row r="77" spans="1:62" s="36" customFormat="1" ht="12">
      <c r="A77" s="23" t="s">
        <v>67</v>
      </c>
      <c r="B77" s="23"/>
      <c r="C77" s="35">
        <f aca="true" t="shared" si="12" ref="C77:C97">+G77-E77</f>
        <v>5513746</v>
      </c>
      <c r="D77" s="35"/>
      <c r="E77" s="35">
        <v>14013184</v>
      </c>
      <c r="F77" s="35"/>
      <c r="G77" s="35">
        <v>19526930</v>
      </c>
      <c r="H77" s="35"/>
      <c r="I77" s="35">
        <f t="shared" si="9"/>
        <v>852925</v>
      </c>
      <c r="J77" s="35"/>
      <c r="K77" s="35">
        <f t="shared" si="11"/>
        <v>5728975</v>
      </c>
      <c r="L77" s="35"/>
      <c r="M77" s="35">
        <v>6581900</v>
      </c>
      <c r="N77" s="35"/>
      <c r="O77" s="35">
        <v>7728562</v>
      </c>
      <c r="P77" s="35"/>
      <c r="Q77" s="35">
        <v>0</v>
      </c>
      <c r="R77" s="35"/>
      <c r="S77" s="35">
        <v>5216468</v>
      </c>
      <c r="T77" s="35"/>
      <c r="U77" s="35">
        <f aca="true" t="shared" si="13" ref="U77:U97">SUM(O77:S77)</f>
        <v>12945030</v>
      </c>
      <c r="V77" s="35">
        <f t="shared" si="10"/>
        <v>0</v>
      </c>
      <c r="W77" s="35"/>
      <c r="X77" s="23" t="s">
        <v>67</v>
      </c>
      <c r="Y77" s="35"/>
      <c r="Z77" s="35">
        <v>4486086</v>
      </c>
      <c r="AA77" s="35"/>
      <c r="AB77" s="35">
        <f>2457149-365351</f>
        <v>2091798</v>
      </c>
      <c r="AC77" s="35"/>
      <c r="AD77" s="35">
        <v>365351</v>
      </c>
      <c r="AE77" s="35"/>
      <c r="AF77" s="35">
        <f aca="true" t="shared" si="14" ref="AF77:AF97">+Z77-AB77-AD77</f>
        <v>2028937</v>
      </c>
      <c r="AG77" s="35"/>
      <c r="AH77" s="35">
        <v>-123073</v>
      </c>
      <c r="AI77" s="35"/>
      <c r="AJ77" s="35">
        <v>0</v>
      </c>
      <c r="AK77" s="35"/>
      <c r="AL77" s="35">
        <v>0</v>
      </c>
      <c r="AM77" s="35"/>
      <c r="AN77" s="35">
        <v>0</v>
      </c>
      <c r="AO77" s="35"/>
      <c r="AP77" s="35">
        <f aca="true" t="shared" si="15" ref="AP77:AP97">+AN77+AJ77+AH77+AF77-AL77</f>
        <v>1905864</v>
      </c>
      <c r="AQ77" s="35"/>
      <c r="AR77" s="35">
        <v>0</v>
      </c>
      <c r="AS77" s="35"/>
      <c r="AT77" s="35">
        <v>0</v>
      </c>
      <c r="AU77" s="35"/>
      <c r="AV77" s="35">
        <f aca="true" t="shared" si="16" ref="AV77:AV97">C77-I77</f>
        <v>4660821</v>
      </c>
      <c r="AW77" s="35"/>
      <c r="AX77" s="23" t="s">
        <v>67</v>
      </c>
      <c r="AY77" s="35"/>
      <c r="AZ77" s="35">
        <v>0</v>
      </c>
      <c r="BA77" s="35"/>
      <c r="BB77" s="35">
        <v>5666729</v>
      </c>
      <c r="BC77" s="35"/>
      <c r="BD77" s="35">
        <v>39204</v>
      </c>
      <c r="BE77" s="35"/>
      <c r="BF77" s="35">
        <v>23042</v>
      </c>
      <c r="BG77" s="35"/>
      <c r="BH77" s="35"/>
      <c r="BI77" s="35"/>
      <c r="BJ77" s="17">
        <f aca="true" t="shared" si="17" ref="BJ77:BJ97">SUM(AZ77:BF77)+BH77</f>
        <v>5728975</v>
      </c>
    </row>
    <row r="78" spans="1:62" s="36" customFormat="1" ht="12" hidden="1">
      <c r="A78" s="23" t="s">
        <v>68</v>
      </c>
      <c r="B78" s="23"/>
      <c r="C78" s="35">
        <f t="shared" si="12"/>
        <v>0</v>
      </c>
      <c r="D78" s="35"/>
      <c r="E78" s="35">
        <v>0</v>
      </c>
      <c r="F78" s="35"/>
      <c r="G78" s="35">
        <v>0</v>
      </c>
      <c r="H78" s="35"/>
      <c r="I78" s="35">
        <f t="shared" si="9"/>
        <v>0</v>
      </c>
      <c r="J78" s="35"/>
      <c r="K78" s="35">
        <f t="shared" si="11"/>
        <v>0</v>
      </c>
      <c r="L78" s="35"/>
      <c r="M78" s="35">
        <v>0</v>
      </c>
      <c r="N78" s="35"/>
      <c r="O78" s="35">
        <v>0</v>
      </c>
      <c r="P78" s="35"/>
      <c r="Q78" s="35">
        <v>0</v>
      </c>
      <c r="R78" s="35"/>
      <c r="S78" s="35">
        <v>0</v>
      </c>
      <c r="T78" s="35"/>
      <c r="U78" s="35">
        <f t="shared" si="13"/>
        <v>0</v>
      </c>
      <c r="V78" s="35">
        <f t="shared" si="10"/>
        <v>0</v>
      </c>
      <c r="W78" s="35"/>
      <c r="X78" s="23" t="s">
        <v>68</v>
      </c>
      <c r="Y78" s="35"/>
      <c r="Z78" s="35">
        <v>0</v>
      </c>
      <c r="AA78" s="35"/>
      <c r="AB78" s="35">
        <v>0</v>
      </c>
      <c r="AC78" s="35"/>
      <c r="AD78" s="35">
        <v>0</v>
      </c>
      <c r="AE78" s="35"/>
      <c r="AF78" s="35">
        <f t="shared" si="14"/>
        <v>0</v>
      </c>
      <c r="AG78" s="35"/>
      <c r="AH78" s="35">
        <v>0</v>
      </c>
      <c r="AI78" s="35"/>
      <c r="AJ78" s="35">
        <v>0</v>
      </c>
      <c r="AK78" s="35"/>
      <c r="AL78" s="35">
        <v>0</v>
      </c>
      <c r="AM78" s="35"/>
      <c r="AN78" s="35">
        <v>0</v>
      </c>
      <c r="AO78" s="35"/>
      <c r="AP78" s="35">
        <f t="shared" si="15"/>
        <v>0</v>
      </c>
      <c r="AQ78" s="35"/>
      <c r="AR78" s="35">
        <v>0</v>
      </c>
      <c r="AS78" s="35"/>
      <c r="AT78" s="35">
        <v>0</v>
      </c>
      <c r="AU78" s="35"/>
      <c r="AV78" s="35">
        <f t="shared" si="16"/>
        <v>0</v>
      </c>
      <c r="AW78" s="35"/>
      <c r="AX78" s="23" t="s">
        <v>68</v>
      </c>
      <c r="AY78" s="35"/>
      <c r="AZ78" s="35">
        <v>0</v>
      </c>
      <c r="BA78" s="35"/>
      <c r="BB78" s="35">
        <v>0</v>
      </c>
      <c r="BC78" s="35"/>
      <c r="BD78" s="35">
        <v>0</v>
      </c>
      <c r="BE78" s="35"/>
      <c r="BF78" s="35">
        <v>0</v>
      </c>
      <c r="BG78" s="35"/>
      <c r="BH78" s="35"/>
      <c r="BI78" s="35"/>
      <c r="BJ78" s="17">
        <f t="shared" si="17"/>
        <v>0</v>
      </c>
    </row>
    <row r="79" spans="1:62" s="36" customFormat="1" ht="12" hidden="1">
      <c r="A79" s="23" t="s">
        <v>176</v>
      </c>
      <c r="B79" s="23"/>
      <c r="C79" s="35">
        <f t="shared" si="12"/>
        <v>0</v>
      </c>
      <c r="D79" s="35"/>
      <c r="E79" s="35">
        <v>0</v>
      </c>
      <c r="F79" s="35"/>
      <c r="G79" s="35">
        <v>0</v>
      </c>
      <c r="H79" s="35"/>
      <c r="I79" s="35">
        <f t="shared" si="9"/>
        <v>0</v>
      </c>
      <c r="J79" s="35"/>
      <c r="K79" s="35">
        <f t="shared" si="11"/>
        <v>0</v>
      </c>
      <c r="L79" s="35"/>
      <c r="M79" s="35">
        <v>0</v>
      </c>
      <c r="N79" s="35"/>
      <c r="O79" s="35">
        <v>0</v>
      </c>
      <c r="P79" s="35"/>
      <c r="Q79" s="35">
        <v>0</v>
      </c>
      <c r="R79" s="35"/>
      <c r="S79" s="35">
        <v>0</v>
      </c>
      <c r="T79" s="35"/>
      <c r="U79" s="35">
        <f t="shared" si="13"/>
        <v>0</v>
      </c>
      <c r="V79" s="35">
        <f t="shared" si="10"/>
        <v>0</v>
      </c>
      <c r="W79" s="35"/>
      <c r="X79" s="23" t="s">
        <v>176</v>
      </c>
      <c r="Y79" s="35"/>
      <c r="Z79" s="35">
        <v>0</v>
      </c>
      <c r="AA79" s="35"/>
      <c r="AB79" s="35">
        <v>0</v>
      </c>
      <c r="AC79" s="35"/>
      <c r="AD79" s="35">
        <v>0</v>
      </c>
      <c r="AE79" s="35"/>
      <c r="AF79" s="35">
        <f t="shared" si="14"/>
        <v>0</v>
      </c>
      <c r="AG79" s="35"/>
      <c r="AH79" s="35">
        <v>0</v>
      </c>
      <c r="AI79" s="35"/>
      <c r="AJ79" s="35">
        <v>0</v>
      </c>
      <c r="AK79" s="35"/>
      <c r="AL79" s="35">
        <v>0</v>
      </c>
      <c r="AM79" s="35"/>
      <c r="AN79" s="35">
        <v>0</v>
      </c>
      <c r="AO79" s="35"/>
      <c r="AP79" s="35">
        <f t="shared" si="15"/>
        <v>0</v>
      </c>
      <c r="AQ79" s="35"/>
      <c r="AR79" s="35">
        <v>0</v>
      </c>
      <c r="AS79" s="35"/>
      <c r="AT79" s="35">
        <v>0</v>
      </c>
      <c r="AU79" s="35"/>
      <c r="AV79" s="35">
        <f t="shared" si="16"/>
        <v>0</v>
      </c>
      <c r="AW79" s="35"/>
      <c r="AX79" s="23" t="s">
        <v>176</v>
      </c>
      <c r="AY79" s="35"/>
      <c r="AZ79" s="35">
        <v>0</v>
      </c>
      <c r="BA79" s="35"/>
      <c r="BB79" s="35">
        <v>0</v>
      </c>
      <c r="BC79" s="35"/>
      <c r="BD79" s="35">
        <v>0</v>
      </c>
      <c r="BE79" s="35"/>
      <c r="BF79" s="35">
        <v>0</v>
      </c>
      <c r="BG79" s="35"/>
      <c r="BH79" s="35"/>
      <c r="BI79" s="35"/>
      <c r="BJ79" s="17">
        <f t="shared" si="17"/>
        <v>0</v>
      </c>
    </row>
    <row r="80" spans="1:62" s="36" customFormat="1" ht="12" hidden="1">
      <c r="A80" s="23" t="s">
        <v>133</v>
      </c>
      <c r="B80" s="23"/>
      <c r="C80" s="35">
        <f t="shared" si="12"/>
        <v>0</v>
      </c>
      <c r="D80" s="35"/>
      <c r="E80" s="35">
        <v>0</v>
      </c>
      <c r="F80" s="35"/>
      <c r="G80" s="35">
        <v>0</v>
      </c>
      <c r="H80" s="35"/>
      <c r="I80" s="35">
        <f t="shared" si="9"/>
        <v>0</v>
      </c>
      <c r="J80" s="35"/>
      <c r="K80" s="35">
        <f t="shared" si="11"/>
        <v>0</v>
      </c>
      <c r="L80" s="35"/>
      <c r="M80" s="35">
        <v>0</v>
      </c>
      <c r="N80" s="35"/>
      <c r="O80" s="35">
        <v>0</v>
      </c>
      <c r="P80" s="35"/>
      <c r="Q80" s="35">
        <v>0</v>
      </c>
      <c r="R80" s="35"/>
      <c r="S80" s="35">
        <v>0</v>
      </c>
      <c r="T80" s="35"/>
      <c r="U80" s="35">
        <f t="shared" si="13"/>
        <v>0</v>
      </c>
      <c r="V80" s="35">
        <f t="shared" si="10"/>
        <v>0</v>
      </c>
      <c r="W80" s="35"/>
      <c r="X80" s="23" t="s">
        <v>133</v>
      </c>
      <c r="Y80" s="35"/>
      <c r="Z80" s="35">
        <v>0</v>
      </c>
      <c r="AA80" s="35"/>
      <c r="AB80" s="35">
        <v>0</v>
      </c>
      <c r="AC80" s="35"/>
      <c r="AD80" s="35">
        <v>0</v>
      </c>
      <c r="AE80" s="35"/>
      <c r="AF80" s="35">
        <f t="shared" si="14"/>
        <v>0</v>
      </c>
      <c r="AG80" s="35"/>
      <c r="AH80" s="35">
        <v>0</v>
      </c>
      <c r="AI80" s="35"/>
      <c r="AJ80" s="35">
        <v>0</v>
      </c>
      <c r="AK80" s="35"/>
      <c r="AL80" s="35">
        <v>0</v>
      </c>
      <c r="AM80" s="35"/>
      <c r="AN80" s="35">
        <v>0</v>
      </c>
      <c r="AO80" s="35"/>
      <c r="AP80" s="35">
        <f t="shared" si="15"/>
        <v>0</v>
      </c>
      <c r="AQ80" s="35"/>
      <c r="AR80" s="35">
        <v>0</v>
      </c>
      <c r="AS80" s="35"/>
      <c r="AT80" s="35">
        <v>0</v>
      </c>
      <c r="AU80" s="35"/>
      <c r="AV80" s="35">
        <f t="shared" si="16"/>
        <v>0</v>
      </c>
      <c r="AW80" s="35"/>
      <c r="AX80" s="23" t="s">
        <v>133</v>
      </c>
      <c r="AY80" s="35"/>
      <c r="AZ80" s="35">
        <v>0</v>
      </c>
      <c r="BA80" s="35"/>
      <c r="BB80" s="35">
        <v>0</v>
      </c>
      <c r="BC80" s="35"/>
      <c r="BD80" s="35">
        <v>0</v>
      </c>
      <c r="BE80" s="35"/>
      <c r="BF80" s="35">
        <v>0</v>
      </c>
      <c r="BG80" s="35"/>
      <c r="BH80" s="35"/>
      <c r="BI80" s="35"/>
      <c r="BJ80" s="17">
        <f t="shared" si="17"/>
        <v>0</v>
      </c>
    </row>
    <row r="81" spans="1:62" s="36" customFormat="1" ht="12" hidden="1">
      <c r="A81" s="23" t="s">
        <v>69</v>
      </c>
      <c r="B81" s="23"/>
      <c r="C81" s="35">
        <f t="shared" si="12"/>
        <v>0</v>
      </c>
      <c r="D81" s="35"/>
      <c r="E81" s="35">
        <v>0</v>
      </c>
      <c r="F81" s="35"/>
      <c r="G81" s="35">
        <v>0</v>
      </c>
      <c r="H81" s="35"/>
      <c r="I81" s="35">
        <f t="shared" si="9"/>
        <v>0</v>
      </c>
      <c r="J81" s="35"/>
      <c r="K81" s="35">
        <f t="shared" si="11"/>
        <v>0</v>
      </c>
      <c r="L81" s="35"/>
      <c r="M81" s="35">
        <v>0</v>
      </c>
      <c r="N81" s="35"/>
      <c r="O81" s="35">
        <v>0</v>
      </c>
      <c r="P81" s="35"/>
      <c r="Q81" s="35">
        <v>0</v>
      </c>
      <c r="R81" s="35"/>
      <c r="S81" s="35">
        <v>0</v>
      </c>
      <c r="T81" s="35"/>
      <c r="U81" s="35">
        <f t="shared" si="13"/>
        <v>0</v>
      </c>
      <c r="V81" s="35">
        <f t="shared" si="10"/>
        <v>0</v>
      </c>
      <c r="W81" s="35"/>
      <c r="X81" s="23" t="s">
        <v>69</v>
      </c>
      <c r="Y81" s="35"/>
      <c r="Z81" s="35">
        <v>0</v>
      </c>
      <c r="AA81" s="35"/>
      <c r="AB81" s="35">
        <v>0</v>
      </c>
      <c r="AC81" s="35"/>
      <c r="AD81" s="35">
        <v>0</v>
      </c>
      <c r="AE81" s="35"/>
      <c r="AF81" s="35">
        <f t="shared" si="14"/>
        <v>0</v>
      </c>
      <c r="AG81" s="35"/>
      <c r="AH81" s="35">
        <v>0</v>
      </c>
      <c r="AI81" s="35"/>
      <c r="AJ81" s="35">
        <v>0</v>
      </c>
      <c r="AK81" s="35"/>
      <c r="AL81" s="35">
        <v>0</v>
      </c>
      <c r="AM81" s="35"/>
      <c r="AN81" s="35">
        <v>0</v>
      </c>
      <c r="AO81" s="35"/>
      <c r="AP81" s="35">
        <f t="shared" si="15"/>
        <v>0</v>
      </c>
      <c r="AQ81" s="35"/>
      <c r="AR81" s="35">
        <v>0</v>
      </c>
      <c r="AS81" s="35"/>
      <c r="AT81" s="35">
        <v>0</v>
      </c>
      <c r="AU81" s="35"/>
      <c r="AV81" s="35">
        <f t="shared" si="16"/>
        <v>0</v>
      </c>
      <c r="AW81" s="35"/>
      <c r="AX81" s="23" t="s">
        <v>69</v>
      </c>
      <c r="AY81" s="35"/>
      <c r="AZ81" s="35">
        <v>0</v>
      </c>
      <c r="BA81" s="35"/>
      <c r="BB81" s="35">
        <v>0</v>
      </c>
      <c r="BC81" s="35"/>
      <c r="BD81" s="35">
        <v>0</v>
      </c>
      <c r="BE81" s="35"/>
      <c r="BF81" s="35">
        <v>0</v>
      </c>
      <c r="BG81" s="35"/>
      <c r="BH81" s="35"/>
      <c r="BI81" s="35"/>
      <c r="BJ81" s="17">
        <f t="shared" si="17"/>
        <v>0</v>
      </c>
    </row>
    <row r="82" spans="1:62" s="36" customFormat="1" ht="12" hidden="1">
      <c r="A82" s="23" t="s">
        <v>98</v>
      </c>
      <c r="B82" s="23"/>
      <c r="C82" s="35">
        <f t="shared" si="12"/>
        <v>0</v>
      </c>
      <c r="D82" s="35"/>
      <c r="E82" s="35">
        <v>0</v>
      </c>
      <c r="F82" s="35"/>
      <c r="G82" s="35">
        <v>0</v>
      </c>
      <c r="H82" s="35"/>
      <c r="I82" s="35">
        <f t="shared" si="9"/>
        <v>0</v>
      </c>
      <c r="J82" s="35"/>
      <c r="K82" s="35">
        <f t="shared" si="11"/>
        <v>0</v>
      </c>
      <c r="L82" s="35"/>
      <c r="M82" s="35">
        <v>0</v>
      </c>
      <c r="N82" s="35"/>
      <c r="O82" s="35">
        <v>0</v>
      </c>
      <c r="P82" s="35"/>
      <c r="Q82" s="35">
        <v>0</v>
      </c>
      <c r="R82" s="35"/>
      <c r="S82" s="35">
        <v>0</v>
      </c>
      <c r="T82" s="35"/>
      <c r="U82" s="35">
        <f t="shared" si="13"/>
        <v>0</v>
      </c>
      <c r="V82" s="35">
        <f t="shared" si="10"/>
        <v>0</v>
      </c>
      <c r="W82" s="35"/>
      <c r="X82" s="23" t="s">
        <v>98</v>
      </c>
      <c r="Y82" s="35"/>
      <c r="Z82" s="35">
        <v>0</v>
      </c>
      <c r="AA82" s="35"/>
      <c r="AB82" s="35">
        <v>0</v>
      </c>
      <c r="AC82" s="35"/>
      <c r="AD82" s="35">
        <v>0</v>
      </c>
      <c r="AE82" s="35"/>
      <c r="AF82" s="35">
        <f t="shared" si="14"/>
        <v>0</v>
      </c>
      <c r="AG82" s="35"/>
      <c r="AH82" s="35">
        <v>0</v>
      </c>
      <c r="AI82" s="35"/>
      <c r="AJ82" s="35">
        <v>0</v>
      </c>
      <c r="AK82" s="35"/>
      <c r="AL82" s="35">
        <v>0</v>
      </c>
      <c r="AM82" s="35"/>
      <c r="AN82" s="35">
        <v>0</v>
      </c>
      <c r="AO82" s="35"/>
      <c r="AP82" s="35">
        <f t="shared" si="15"/>
        <v>0</v>
      </c>
      <c r="AQ82" s="35"/>
      <c r="AR82" s="35">
        <v>0</v>
      </c>
      <c r="AS82" s="35"/>
      <c r="AT82" s="35">
        <v>0</v>
      </c>
      <c r="AU82" s="35"/>
      <c r="AV82" s="35">
        <f t="shared" si="16"/>
        <v>0</v>
      </c>
      <c r="AW82" s="35"/>
      <c r="AX82" s="23" t="s">
        <v>98</v>
      </c>
      <c r="AY82" s="35"/>
      <c r="AZ82" s="35">
        <v>0</v>
      </c>
      <c r="BA82" s="35"/>
      <c r="BB82" s="35">
        <v>0</v>
      </c>
      <c r="BC82" s="35"/>
      <c r="BD82" s="35">
        <v>0</v>
      </c>
      <c r="BE82" s="35"/>
      <c r="BF82" s="35">
        <v>0</v>
      </c>
      <c r="BG82" s="35"/>
      <c r="BH82" s="35"/>
      <c r="BI82" s="35"/>
      <c r="BJ82" s="17">
        <f t="shared" si="17"/>
        <v>0</v>
      </c>
    </row>
    <row r="83" spans="1:62" s="36" customFormat="1" ht="12" hidden="1">
      <c r="A83" s="23" t="s">
        <v>70</v>
      </c>
      <c r="B83" s="23"/>
      <c r="C83" s="35">
        <f t="shared" si="12"/>
        <v>0</v>
      </c>
      <c r="D83" s="35"/>
      <c r="E83" s="35">
        <v>0</v>
      </c>
      <c r="F83" s="35"/>
      <c r="G83" s="35">
        <v>0</v>
      </c>
      <c r="H83" s="35"/>
      <c r="I83" s="35">
        <f t="shared" si="9"/>
        <v>0</v>
      </c>
      <c r="J83" s="35"/>
      <c r="K83" s="35">
        <f t="shared" si="11"/>
        <v>0</v>
      </c>
      <c r="L83" s="35"/>
      <c r="M83" s="35">
        <v>0</v>
      </c>
      <c r="N83" s="35"/>
      <c r="O83" s="35">
        <v>0</v>
      </c>
      <c r="P83" s="35"/>
      <c r="Q83" s="35">
        <v>0</v>
      </c>
      <c r="R83" s="35"/>
      <c r="S83" s="35">
        <v>0</v>
      </c>
      <c r="T83" s="35"/>
      <c r="U83" s="35">
        <f t="shared" si="13"/>
        <v>0</v>
      </c>
      <c r="V83" s="35">
        <f t="shared" si="10"/>
        <v>0</v>
      </c>
      <c r="W83" s="35"/>
      <c r="X83" s="23" t="s">
        <v>70</v>
      </c>
      <c r="Y83" s="35"/>
      <c r="Z83" s="35">
        <v>0</v>
      </c>
      <c r="AA83" s="35"/>
      <c r="AB83" s="35">
        <v>0</v>
      </c>
      <c r="AC83" s="35"/>
      <c r="AD83" s="35">
        <v>0</v>
      </c>
      <c r="AE83" s="35"/>
      <c r="AF83" s="35">
        <f t="shared" si="14"/>
        <v>0</v>
      </c>
      <c r="AG83" s="35"/>
      <c r="AH83" s="35">
        <v>0</v>
      </c>
      <c r="AI83" s="35"/>
      <c r="AJ83" s="35">
        <v>0</v>
      </c>
      <c r="AK83" s="35"/>
      <c r="AL83" s="35">
        <v>0</v>
      </c>
      <c r="AM83" s="35"/>
      <c r="AN83" s="35">
        <v>0</v>
      </c>
      <c r="AO83" s="35"/>
      <c r="AP83" s="35">
        <f t="shared" si="15"/>
        <v>0</v>
      </c>
      <c r="AQ83" s="35"/>
      <c r="AR83" s="35">
        <v>0</v>
      </c>
      <c r="AS83" s="35"/>
      <c r="AT83" s="35">
        <v>0</v>
      </c>
      <c r="AU83" s="35"/>
      <c r="AV83" s="35">
        <f t="shared" si="16"/>
        <v>0</v>
      </c>
      <c r="AW83" s="35"/>
      <c r="AX83" s="23" t="s">
        <v>70</v>
      </c>
      <c r="AY83" s="35"/>
      <c r="AZ83" s="35">
        <v>0</v>
      </c>
      <c r="BA83" s="35"/>
      <c r="BB83" s="35">
        <v>0</v>
      </c>
      <c r="BC83" s="35"/>
      <c r="BD83" s="35">
        <v>0</v>
      </c>
      <c r="BE83" s="35"/>
      <c r="BF83" s="35">
        <v>0</v>
      </c>
      <c r="BG83" s="35"/>
      <c r="BH83" s="35"/>
      <c r="BI83" s="35"/>
      <c r="BJ83" s="17">
        <f t="shared" si="17"/>
        <v>0</v>
      </c>
    </row>
    <row r="84" spans="1:62" s="36" customFormat="1" ht="12" hidden="1">
      <c r="A84" s="23" t="s">
        <v>71</v>
      </c>
      <c r="B84" s="23"/>
      <c r="C84" s="35">
        <f t="shared" si="12"/>
        <v>0</v>
      </c>
      <c r="D84" s="35"/>
      <c r="E84" s="35">
        <v>0</v>
      </c>
      <c r="F84" s="35"/>
      <c r="G84" s="35">
        <v>0</v>
      </c>
      <c r="H84" s="35"/>
      <c r="I84" s="35">
        <f t="shared" si="9"/>
        <v>0</v>
      </c>
      <c r="J84" s="35"/>
      <c r="K84" s="35">
        <f t="shared" si="11"/>
        <v>0</v>
      </c>
      <c r="L84" s="35"/>
      <c r="M84" s="35">
        <v>0</v>
      </c>
      <c r="N84" s="35"/>
      <c r="O84" s="35">
        <v>0</v>
      </c>
      <c r="P84" s="35"/>
      <c r="Q84" s="35">
        <v>0</v>
      </c>
      <c r="R84" s="35"/>
      <c r="S84" s="35">
        <v>0</v>
      </c>
      <c r="T84" s="35"/>
      <c r="U84" s="35">
        <f t="shared" si="13"/>
        <v>0</v>
      </c>
      <c r="V84" s="35">
        <f t="shared" si="10"/>
        <v>0</v>
      </c>
      <c r="W84" s="35"/>
      <c r="X84" s="23" t="s">
        <v>71</v>
      </c>
      <c r="Y84" s="35"/>
      <c r="Z84" s="35">
        <v>0</v>
      </c>
      <c r="AA84" s="35"/>
      <c r="AB84" s="35">
        <v>0</v>
      </c>
      <c r="AC84" s="35"/>
      <c r="AD84" s="35">
        <v>0</v>
      </c>
      <c r="AE84" s="35"/>
      <c r="AF84" s="35">
        <f t="shared" si="14"/>
        <v>0</v>
      </c>
      <c r="AG84" s="35"/>
      <c r="AH84" s="35">
        <v>0</v>
      </c>
      <c r="AI84" s="35"/>
      <c r="AJ84" s="35">
        <v>0</v>
      </c>
      <c r="AK84" s="35"/>
      <c r="AL84" s="35">
        <v>0</v>
      </c>
      <c r="AM84" s="35"/>
      <c r="AN84" s="35">
        <v>0</v>
      </c>
      <c r="AO84" s="35"/>
      <c r="AP84" s="35">
        <f t="shared" si="15"/>
        <v>0</v>
      </c>
      <c r="AQ84" s="35"/>
      <c r="AR84" s="35">
        <v>0</v>
      </c>
      <c r="AS84" s="35"/>
      <c r="AT84" s="35">
        <v>0</v>
      </c>
      <c r="AU84" s="35"/>
      <c r="AV84" s="35">
        <f t="shared" si="16"/>
        <v>0</v>
      </c>
      <c r="AW84" s="35"/>
      <c r="AX84" s="23" t="s">
        <v>71</v>
      </c>
      <c r="AY84" s="35"/>
      <c r="AZ84" s="35">
        <v>0</v>
      </c>
      <c r="BA84" s="35"/>
      <c r="BB84" s="35">
        <v>0</v>
      </c>
      <c r="BC84" s="35"/>
      <c r="BD84" s="35">
        <v>0</v>
      </c>
      <c r="BE84" s="35"/>
      <c r="BF84" s="35">
        <v>0</v>
      </c>
      <c r="BG84" s="35"/>
      <c r="BH84" s="35"/>
      <c r="BI84" s="35"/>
      <c r="BJ84" s="17">
        <f t="shared" si="17"/>
        <v>0</v>
      </c>
    </row>
    <row r="85" spans="1:62" s="36" customFormat="1" ht="12" hidden="1">
      <c r="A85" s="23" t="s">
        <v>72</v>
      </c>
      <c r="B85" s="23"/>
      <c r="C85" s="35">
        <f t="shared" si="12"/>
        <v>0</v>
      </c>
      <c r="D85" s="35"/>
      <c r="E85" s="35">
        <v>0</v>
      </c>
      <c r="F85" s="35"/>
      <c r="G85" s="35">
        <v>0</v>
      </c>
      <c r="H85" s="35"/>
      <c r="I85" s="35">
        <f t="shared" si="9"/>
        <v>0</v>
      </c>
      <c r="J85" s="35"/>
      <c r="K85" s="35">
        <f t="shared" si="11"/>
        <v>0</v>
      </c>
      <c r="L85" s="35"/>
      <c r="M85" s="35">
        <v>0</v>
      </c>
      <c r="N85" s="35"/>
      <c r="O85" s="35">
        <v>0</v>
      </c>
      <c r="P85" s="35"/>
      <c r="Q85" s="35">
        <v>0</v>
      </c>
      <c r="R85" s="35"/>
      <c r="S85" s="35">
        <v>0</v>
      </c>
      <c r="T85" s="35"/>
      <c r="U85" s="35">
        <f t="shared" si="13"/>
        <v>0</v>
      </c>
      <c r="V85" s="35">
        <f t="shared" si="10"/>
        <v>0</v>
      </c>
      <c r="W85" s="35"/>
      <c r="X85" s="23" t="s">
        <v>72</v>
      </c>
      <c r="Y85" s="35"/>
      <c r="Z85" s="35">
        <v>0</v>
      </c>
      <c r="AA85" s="35"/>
      <c r="AB85" s="35">
        <v>0</v>
      </c>
      <c r="AC85" s="35"/>
      <c r="AD85" s="35">
        <v>0</v>
      </c>
      <c r="AE85" s="35"/>
      <c r="AF85" s="35">
        <f t="shared" si="14"/>
        <v>0</v>
      </c>
      <c r="AG85" s="35"/>
      <c r="AH85" s="35">
        <v>0</v>
      </c>
      <c r="AI85" s="35"/>
      <c r="AJ85" s="35">
        <v>0</v>
      </c>
      <c r="AK85" s="35"/>
      <c r="AL85" s="35">
        <v>0</v>
      </c>
      <c r="AM85" s="35"/>
      <c r="AN85" s="35">
        <v>0</v>
      </c>
      <c r="AO85" s="35"/>
      <c r="AP85" s="35">
        <f t="shared" si="15"/>
        <v>0</v>
      </c>
      <c r="AQ85" s="35"/>
      <c r="AR85" s="35">
        <v>0</v>
      </c>
      <c r="AS85" s="35"/>
      <c r="AT85" s="35">
        <v>0</v>
      </c>
      <c r="AU85" s="35"/>
      <c r="AV85" s="35">
        <f t="shared" si="16"/>
        <v>0</v>
      </c>
      <c r="AW85" s="35"/>
      <c r="AX85" s="23" t="s">
        <v>72</v>
      </c>
      <c r="AY85" s="35"/>
      <c r="AZ85" s="35">
        <v>0</v>
      </c>
      <c r="BA85" s="35"/>
      <c r="BB85" s="35">
        <v>0</v>
      </c>
      <c r="BC85" s="35"/>
      <c r="BD85" s="35">
        <v>0</v>
      </c>
      <c r="BE85" s="35"/>
      <c r="BF85" s="35">
        <v>0</v>
      </c>
      <c r="BG85" s="35"/>
      <c r="BH85" s="35"/>
      <c r="BI85" s="35"/>
      <c r="BJ85" s="17">
        <f t="shared" si="17"/>
        <v>0</v>
      </c>
    </row>
    <row r="86" spans="1:62" s="36" customFormat="1" ht="12" hidden="1">
      <c r="A86" s="23" t="s">
        <v>73</v>
      </c>
      <c r="B86" s="23"/>
      <c r="C86" s="35">
        <f t="shared" si="12"/>
        <v>0</v>
      </c>
      <c r="D86" s="35"/>
      <c r="E86" s="35">
        <v>0</v>
      </c>
      <c r="F86" s="35"/>
      <c r="G86" s="35">
        <v>0</v>
      </c>
      <c r="H86" s="35"/>
      <c r="I86" s="35">
        <f t="shared" si="9"/>
        <v>0</v>
      </c>
      <c r="J86" s="35"/>
      <c r="K86" s="35">
        <f t="shared" si="11"/>
        <v>0</v>
      </c>
      <c r="L86" s="35"/>
      <c r="M86" s="35">
        <v>0</v>
      </c>
      <c r="N86" s="35"/>
      <c r="O86" s="35">
        <v>0</v>
      </c>
      <c r="P86" s="35"/>
      <c r="Q86" s="35">
        <v>0</v>
      </c>
      <c r="R86" s="35"/>
      <c r="S86" s="35">
        <v>0</v>
      </c>
      <c r="T86" s="35"/>
      <c r="U86" s="35">
        <f t="shared" si="13"/>
        <v>0</v>
      </c>
      <c r="V86" s="35">
        <f t="shared" si="10"/>
        <v>0</v>
      </c>
      <c r="W86" s="35"/>
      <c r="X86" s="23" t="s">
        <v>73</v>
      </c>
      <c r="Y86" s="35"/>
      <c r="Z86" s="35">
        <v>0</v>
      </c>
      <c r="AA86" s="35"/>
      <c r="AB86" s="35">
        <v>0</v>
      </c>
      <c r="AC86" s="35"/>
      <c r="AD86" s="35">
        <v>0</v>
      </c>
      <c r="AE86" s="35"/>
      <c r="AF86" s="35">
        <f t="shared" si="14"/>
        <v>0</v>
      </c>
      <c r="AG86" s="35"/>
      <c r="AH86" s="35">
        <v>0</v>
      </c>
      <c r="AI86" s="35"/>
      <c r="AJ86" s="35">
        <v>0</v>
      </c>
      <c r="AK86" s="35"/>
      <c r="AL86" s="35">
        <v>0</v>
      </c>
      <c r="AM86" s="35"/>
      <c r="AN86" s="35">
        <v>0</v>
      </c>
      <c r="AO86" s="35"/>
      <c r="AP86" s="35">
        <f t="shared" si="15"/>
        <v>0</v>
      </c>
      <c r="AQ86" s="35"/>
      <c r="AR86" s="35">
        <v>0</v>
      </c>
      <c r="AS86" s="35"/>
      <c r="AT86" s="35">
        <v>0</v>
      </c>
      <c r="AU86" s="35"/>
      <c r="AV86" s="35">
        <f t="shared" si="16"/>
        <v>0</v>
      </c>
      <c r="AW86" s="35"/>
      <c r="AX86" s="23" t="s">
        <v>73</v>
      </c>
      <c r="AY86" s="35"/>
      <c r="AZ86" s="35">
        <v>0</v>
      </c>
      <c r="BA86" s="35"/>
      <c r="BB86" s="35">
        <v>0</v>
      </c>
      <c r="BC86" s="35"/>
      <c r="BD86" s="35">
        <v>0</v>
      </c>
      <c r="BE86" s="35"/>
      <c r="BF86" s="35">
        <v>0</v>
      </c>
      <c r="BG86" s="35"/>
      <c r="BH86" s="35"/>
      <c r="BI86" s="35"/>
      <c r="BJ86" s="17">
        <f t="shared" si="17"/>
        <v>0</v>
      </c>
    </row>
    <row r="87" spans="1:62" s="36" customFormat="1" ht="12">
      <c r="A87" s="23" t="s">
        <v>74</v>
      </c>
      <c r="B87" s="23"/>
      <c r="C87" s="35">
        <f t="shared" si="12"/>
        <v>2635252</v>
      </c>
      <c r="D87" s="35"/>
      <c r="E87" s="35">
        <v>0</v>
      </c>
      <c r="F87" s="35"/>
      <c r="G87" s="35">
        <v>2635252</v>
      </c>
      <c r="H87" s="35"/>
      <c r="I87" s="35">
        <f t="shared" si="9"/>
        <v>25038</v>
      </c>
      <c r="J87" s="35"/>
      <c r="K87" s="35">
        <f t="shared" si="11"/>
        <v>243794</v>
      </c>
      <c r="L87" s="35"/>
      <c r="M87" s="35">
        <v>268832</v>
      </c>
      <c r="N87" s="35"/>
      <c r="O87" s="35">
        <v>0</v>
      </c>
      <c r="P87" s="35"/>
      <c r="Q87" s="35">
        <v>0</v>
      </c>
      <c r="R87" s="35"/>
      <c r="S87" s="35">
        <v>2366420</v>
      </c>
      <c r="T87" s="35"/>
      <c r="U87" s="35">
        <f t="shared" si="13"/>
        <v>2366420</v>
      </c>
      <c r="V87" s="35">
        <f t="shared" si="10"/>
        <v>0</v>
      </c>
      <c r="W87" s="35"/>
      <c r="X87" s="23" t="s">
        <v>74</v>
      </c>
      <c r="Y87" s="35"/>
      <c r="Z87" s="35">
        <v>0</v>
      </c>
      <c r="AA87" s="35"/>
      <c r="AB87" s="35">
        <v>38299</v>
      </c>
      <c r="AC87" s="35"/>
      <c r="AD87" s="35">
        <v>0</v>
      </c>
      <c r="AE87" s="35"/>
      <c r="AF87" s="35">
        <f t="shared" si="14"/>
        <v>-38299</v>
      </c>
      <c r="AG87" s="35"/>
      <c r="AH87" s="35">
        <v>-17477</v>
      </c>
      <c r="AI87" s="35"/>
      <c r="AJ87" s="35">
        <v>537688</v>
      </c>
      <c r="AK87" s="35"/>
      <c r="AL87" s="35">
        <v>39807</v>
      </c>
      <c r="AM87" s="35"/>
      <c r="AN87" s="35">
        <v>0</v>
      </c>
      <c r="AO87" s="35"/>
      <c r="AP87" s="35">
        <f t="shared" si="15"/>
        <v>442105</v>
      </c>
      <c r="AQ87" s="35"/>
      <c r="AR87" s="35">
        <v>0</v>
      </c>
      <c r="AS87" s="35"/>
      <c r="AT87" s="35">
        <v>0</v>
      </c>
      <c r="AU87" s="35"/>
      <c r="AV87" s="35">
        <f t="shared" si="16"/>
        <v>2610214</v>
      </c>
      <c r="AW87" s="35"/>
      <c r="AX87" s="23" t="s">
        <v>74</v>
      </c>
      <c r="AY87" s="35"/>
      <c r="AZ87" s="35">
        <v>0</v>
      </c>
      <c r="BA87" s="35"/>
      <c r="BB87" s="35">
        <v>0</v>
      </c>
      <c r="BC87" s="35"/>
      <c r="BD87" s="35">
        <v>243794</v>
      </c>
      <c r="BE87" s="35"/>
      <c r="BF87" s="35">
        <v>0</v>
      </c>
      <c r="BG87" s="35"/>
      <c r="BH87" s="35"/>
      <c r="BI87" s="35"/>
      <c r="BJ87" s="17">
        <f t="shared" si="17"/>
        <v>243794</v>
      </c>
    </row>
    <row r="88" spans="1:62" s="36" customFormat="1" ht="12">
      <c r="A88" s="23" t="s">
        <v>75</v>
      </c>
      <c r="B88" s="23"/>
      <c r="C88" s="35">
        <f t="shared" si="12"/>
        <v>2160614</v>
      </c>
      <c r="D88" s="35"/>
      <c r="E88" s="35">
        <v>16358221</v>
      </c>
      <c r="F88" s="35"/>
      <c r="G88" s="35">
        <v>18518835</v>
      </c>
      <c r="H88" s="35"/>
      <c r="I88" s="35">
        <f aca="true" t="shared" si="18" ref="I88:I93">+M88-K88</f>
        <v>366221</v>
      </c>
      <c r="J88" s="35"/>
      <c r="K88" s="35">
        <f t="shared" si="11"/>
        <v>647163</v>
      </c>
      <c r="L88" s="35"/>
      <c r="M88" s="35">
        <v>1013384</v>
      </c>
      <c r="N88" s="35"/>
      <c r="O88" s="35">
        <v>15686863</v>
      </c>
      <c r="P88" s="35"/>
      <c r="Q88" s="35">
        <v>0</v>
      </c>
      <c r="R88" s="35"/>
      <c r="S88" s="35">
        <v>1818588</v>
      </c>
      <c r="T88" s="35"/>
      <c r="U88" s="35">
        <f t="shared" si="13"/>
        <v>17505451</v>
      </c>
      <c r="V88" s="35">
        <f aca="true" t="shared" si="19" ref="V88:V97">G88-M88-U88</f>
        <v>0</v>
      </c>
      <c r="W88" s="35"/>
      <c r="X88" s="23" t="s">
        <v>75</v>
      </c>
      <c r="Y88" s="35"/>
      <c r="Z88" s="35">
        <v>4413236</v>
      </c>
      <c r="AA88" s="35"/>
      <c r="AB88" s="35">
        <f>5138619-1102773</f>
        <v>4035846</v>
      </c>
      <c r="AC88" s="35"/>
      <c r="AD88" s="35">
        <v>1102773</v>
      </c>
      <c r="AE88" s="35"/>
      <c r="AF88" s="35">
        <f t="shared" si="14"/>
        <v>-725383</v>
      </c>
      <c r="AG88" s="35"/>
      <c r="AH88" s="35">
        <v>97252</v>
      </c>
      <c r="AI88" s="35"/>
      <c r="AJ88" s="35">
        <v>448685</v>
      </c>
      <c r="AK88" s="35"/>
      <c r="AL88" s="35">
        <v>1403794</v>
      </c>
      <c r="AM88" s="35"/>
      <c r="AN88" s="35">
        <v>1788004</v>
      </c>
      <c r="AO88" s="35"/>
      <c r="AP88" s="35">
        <f t="shared" si="15"/>
        <v>204764</v>
      </c>
      <c r="AQ88" s="35"/>
      <c r="AR88" s="35">
        <v>0</v>
      </c>
      <c r="AS88" s="35"/>
      <c r="AT88" s="35">
        <v>0</v>
      </c>
      <c r="AU88" s="35"/>
      <c r="AV88" s="35">
        <f t="shared" si="16"/>
        <v>1794393</v>
      </c>
      <c r="AW88" s="35"/>
      <c r="AX88" s="23" t="s">
        <v>75</v>
      </c>
      <c r="AY88" s="35"/>
      <c r="AZ88" s="35">
        <v>103829</v>
      </c>
      <c r="BA88" s="35"/>
      <c r="BB88" s="35">
        <v>0</v>
      </c>
      <c r="BC88" s="35"/>
      <c r="BD88" s="35">
        <v>506681</v>
      </c>
      <c r="BE88" s="35"/>
      <c r="BF88" s="35">
        <v>36653</v>
      </c>
      <c r="BG88" s="35"/>
      <c r="BH88" s="35"/>
      <c r="BI88" s="35"/>
      <c r="BJ88" s="17">
        <f t="shared" si="17"/>
        <v>647163</v>
      </c>
    </row>
    <row r="89" spans="1:62" s="36" customFormat="1" ht="12">
      <c r="A89" s="23" t="s">
        <v>76</v>
      </c>
      <c r="B89" s="23"/>
      <c r="C89" s="35">
        <f t="shared" si="12"/>
        <v>1317766</v>
      </c>
      <c r="D89" s="35"/>
      <c r="E89" s="35">
        <v>5760978</v>
      </c>
      <c r="F89" s="35"/>
      <c r="G89" s="35">
        <v>7078744</v>
      </c>
      <c r="H89" s="35"/>
      <c r="I89" s="35">
        <f t="shared" si="18"/>
        <v>128624</v>
      </c>
      <c r="J89" s="35"/>
      <c r="K89" s="35">
        <f t="shared" si="11"/>
        <v>1600454</v>
      </c>
      <c r="L89" s="35"/>
      <c r="M89" s="35">
        <v>1729078</v>
      </c>
      <c r="N89" s="35"/>
      <c r="O89" s="35">
        <v>4402608</v>
      </c>
      <c r="P89" s="35"/>
      <c r="Q89" s="35">
        <v>0</v>
      </c>
      <c r="R89" s="35"/>
      <c r="S89" s="35">
        <v>947058</v>
      </c>
      <c r="T89" s="35"/>
      <c r="U89" s="35">
        <f t="shared" si="13"/>
        <v>5349666</v>
      </c>
      <c r="V89" s="35">
        <f t="shared" si="19"/>
        <v>0</v>
      </c>
      <c r="W89" s="35"/>
      <c r="X89" s="23" t="s">
        <v>76</v>
      </c>
      <c r="Y89" s="35"/>
      <c r="Z89" s="35">
        <v>659913</v>
      </c>
      <c r="AA89" s="35"/>
      <c r="AB89" s="35">
        <f>762539-119431</f>
        <v>643108</v>
      </c>
      <c r="AC89" s="35"/>
      <c r="AD89" s="35">
        <v>119431</v>
      </c>
      <c r="AE89" s="35"/>
      <c r="AF89" s="35">
        <f t="shared" si="14"/>
        <v>-102626</v>
      </c>
      <c r="AG89" s="35"/>
      <c r="AH89" s="35">
        <f>179154-20063</f>
        <v>159091</v>
      </c>
      <c r="AI89" s="35"/>
      <c r="AJ89" s="35">
        <v>0</v>
      </c>
      <c r="AK89" s="35"/>
      <c r="AL89" s="35">
        <v>0</v>
      </c>
      <c r="AM89" s="35"/>
      <c r="AN89" s="35">
        <v>0</v>
      </c>
      <c r="AO89" s="35"/>
      <c r="AP89" s="35">
        <f t="shared" si="15"/>
        <v>56465</v>
      </c>
      <c r="AQ89" s="35"/>
      <c r="AR89" s="35">
        <v>0</v>
      </c>
      <c r="AS89" s="35"/>
      <c r="AT89" s="35">
        <v>0</v>
      </c>
      <c r="AU89" s="35"/>
      <c r="AV89" s="35">
        <f t="shared" si="16"/>
        <v>1189142</v>
      </c>
      <c r="AW89" s="35"/>
      <c r="AX89" s="23" t="s">
        <v>76</v>
      </c>
      <c r="AY89" s="35"/>
      <c r="AZ89" s="35">
        <v>0</v>
      </c>
      <c r="BA89" s="35"/>
      <c r="BB89" s="35">
        <v>0</v>
      </c>
      <c r="BC89" s="35"/>
      <c r="BD89" s="35">
        <f>627789+644342</f>
        <v>1272131</v>
      </c>
      <c r="BE89" s="35"/>
      <c r="BF89" s="35">
        <f>5317+323006</f>
        <v>328323</v>
      </c>
      <c r="BG89" s="35"/>
      <c r="BH89" s="35"/>
      <c r="BI89" s="35"/>
      <c r="BJ89" s="17">
        <f t="shared" si="17"/>
        <v>1600454</v>
      </c>
    </row>
    <row r="90" spans="1:62" s="36" customFormat="1" ht="12" hidden="1">
      <c r="A90" s="23" t="s">
        <v>77</v>
      </c>
      <c r="B90" s="23"/>
      <c r="C90" s="35">
        <f t="shared" si="12"/>
        <v>0</v>
      </c>
      <c r="D90" s="35"/>
      <c r="E90" s="35">
        <v>0</v>
      </c>
      <c r="F90" s="35"/>
      <c r="G90" s="35">
        <v>0</v>
      </c>
      <c r="H90" s="35"/>
      <c r="I90" s="35">
        <f t="shared" si="18"/>
        <v>0</v>
      </c>
      <c r="J90" s="35"/>
      <c r="K90" s="35">
        <f t="shared" si="11"/>
        <v>0</v>
      </c>
      <c r="L90" s="35"/>
      <c r="M90" s="35">
        <v>0</v>
      </c>
      <c r="N90" s="35"/>
      <c r="O90" s="35">
        <v>0</v>
      </c>
      <c r="P90" s="35"/>
      <c r="Q90" s="35">
        <v>0</v>
      </c>
      <c r="R90" s="35"/>
      <c r="S90" s="35">
        <v>0</v>
      </c>
      <c r="T90" s="35"/>
      <c r="U90" s="35">
        <f t="shared" si="13"/>
        <v>0</v>
      </c>
      <c r="V90" s="35">
        <f t="shared" si="19"/>
        <v>0</v>
      </c>
      <c r="W90" s="35"/>
      <c r="X90" s="23" t="s">
        <v>77</v>
      </c>
      <c r="Y90" s="35"/>
      <c r="Z90" s="35">
        <v>0</v>
      </c>
      <c r="AA90" s="35"/>
      <c r="AB90" s="35">
        <v>0</v>
      </c>
      <c r="AC90" s="35"/>
      <c r="AD90" s="35">
        <v>0</v>
      </c>
      <c r="AE90" s="35"/>
      <c r="AF90" s="35">
        <f t="shared" si="14"/>
        <v>0</v>
      </c>
      <c r="AG90" s="35"/>
      <c r="AH90" s="35">
        <v>0</v>
      </c>
      <c r="AI90" s="35"/>
      <c r="AJ90" s="35">
        <v>0</v>
      </c>
      <c r="AK90" s="35"/>
      <c r="AL90" s="35">
        <v>0</v>
      </c>
      <c r="AM90" s="35"/>
      <c r="AN90" s="35">
        <v>0</v>
      </c>
      <c r="AO90" s="35"/>
      <c r="AP90" s="35">
        <f t="shared" si="15"/>
        <v>0</v>
      </c>
      <c r="AQ90" s="35"/>
      <c r="AR90" s="35">
        <v>0</v>
      </c>
      <c r="AS90" s="35"/>
      <c r="AT90" s="35">
        <v>0</v>
      </c>
      <c r="AU90" s="35"/>
      <c r="AV90" s="35">
        <f t="shared" si="16"/>
        <v>0</v>
      </c>
      <c r="AW90" s="35"/>
      <c r="AX90" s="23" t="s">
        <v>77</v>
      </c>
      <c r="AY90" s="35"/>
      <c r="AZ90" s="35">
        <v>0</v>
      </c>
      <c r="BA90" s="35"/>
      <c r="BB90" s="35">
        <v>0</v>
      </c>
      <c r="BC90" s="35"/>
      <c r="BD90" s="35">
        <v>0</v>
      </c>
      <c r="BE90" s="35"/>
      <c r="BF90" s="35">
        <v>0</v>
      </c>
      <c r="BG90" s="35"/>
      <c r="BH90" s="35"/>
      <c r="BI90" s="35"/>
      <c r="BJ90" s="17">
        <f t="shared" si="17"/>
        <v>0</v>
      </c>
    </row>
    <row r="91" spans="1:62" s="36" customFormat="1" ht="12" hidden="1">
      <c r="A91" s="23" t="s">
        <v>78</v>
      </c>
      <c r="B91" s="23"/>
      <c r="C91" s="35">
        <f t="shared" si="12"/>
        <v>0</v>
      </c>
      <c r="D91" s="35"/>
      <c r="E91" s="35">
        <v>0</v>
      </c>
      <c r="F91" s="35"/>
      <c r="G91" s="35">
        <v>0</v>
      </c>
      <c r="H91" s="35"/>
      <c r="I91" s="35">
        <f t="shared" si="18"/>
        <v>0</v>
      </c>
      <c r="J91" s="35"/>
      <c r="K91" s="35">
        <f t="shared" si="11"/>
        <v>0</v>
      </c>
      <c r="L91" s="35"/>
      <c r="M91" s="35">
        <v>0</v>
      </c>
      <c r="N91" s="35"/>
      <c r="O91" s="35">
        <v>0</v>
      </c>
      <c r="P91" s="35"/>
      <c r="Q91" s="35">
        <v>0</v>
      </c>
      <c r="R91" s="35"/>
      <c r="S91" s="35">
        <v>0</v>
      </c>
      <c r="T91" s="35"/>
      <c r="U91" s="35">
        <f t="shared" si="13"/>
        <v>0</v>
      </c>
      <c r="V91" s="35">
        <f t="shared" si="19"/>
        <v>0</v>
      </c>
      <c r="W91" s="35"/>
      <c r="X91" s="23" t="s">
        <v>78</v>
      </c>
      <c r="Y91" s="35"/>
      <c r="Z91" s="35">
        <v>0</v>
      </c>
      <c r="AA91" s="35"/>
      <c r="AB91" s="35">
        <v>0</v>
      </c>
      <c r="AC91" s="35"/>
      <c r="AD91" s="35">
        <v>0</v>
      </c>
      <c r="AE91" s="35"/>
      <c r="AF91" s="35">
        <f t="shared" si="14"/>
        <v>0</v>
      </c>
      <c r="AG91" s="35"/>
      <c r="AH91" s="35">
        <v>0</v>
      </c>
      <c r="AI91" s="35"/>
      <c r="AJ91" s="35">
        <v>0</v>
      </c>
      <c r="AK91" s="35"/>
      <c r="AL91" s="35">
        <v>0</v>
      </c>
      <c r="AM91" s="35"/>
      <c r="AN91" s="35">
        <v>0</v>
      </c>
      <c r="AO91" s="35"/>
      <c r="AP91" s="35">
        <f t="shared" si="15"/>
        <v>0</v>
      </c>
      <c r="AQ91" s="35"/>
      <c r="AR91" s="35">
        <v>0</v>
      </c>
      <c r="AS91" s="35"/>
      <c r="AT91" s="35">
        <v>0</v>
      </c>
      <c r="AU91" s="35"/>
      <c r="AV91" s="35">
        <f t="shared" si="16"/>
        <v>0</v>
      </c>
      <c r="AW91" s="35"/>
      <c r="AX91" s="23" t="s">
        <v>78</v>
      </c>
      <c r="AY91" s="35"/>
      <c r="AZ91" s="35">
        <v>0</v>
      </c>
      <c r="BA91" s="35"/>
      <c r="BB91" s="35">
        <v>0</v>
      </c>
      <c r="BC91" s="35"/>
      <c r="BD91" s="35">
        <v>0</v>
      </c>
      <c r="BE91" s="35"/>
      <c r="BF91" s="35">
        <v>0</v>
      </c>
      <c r="BG91" s="35"/>
      <c r="BH91" s="35"/>
      <c r="BI91" s="35"/>
      <c r="BJ91" s="17">
        <f t="shared" si="17"/>
        <v>0</v>
      </c>
    </row>
    <row r="92" spans="1:62" s="36" customFormat="1" ht="12" hidden="1">
      <c r="A92" s="23" t="s">
        <v>79</v>
      </c>
      <c r="B92" s="23"/>
      <c r="C92" s="35">
        <f t="shared" si="12"/>
        <v>0</v>
      </c>
      <c r="D92" s="35"/>
      <c r="E92" s="35">
        <v>0</v>
      </c>
      <c r="F92" s="35"/>
      <c r="G92" s="35">
        <v>0</v>
      </c>
      <c r="H92" s="35"/>
      <c r="I92" s="35">
        <f t="shared" si="18"/>
        <v>0</v>
      </c>
      <c r="J92" s="35"/>
      <c r="K92" s="35">
        <f t="shared" si="11"/>
        <v>0</v>
      </c>
      <c r="L92" s="35"/>
      <c r="M92" s="35">
        <v>0</v>
      </c>
      <c r="N92" s="35"/>
      <c r="O92" s="35">
        <v>0</v>
      </c>
      <c r="P92" s="35"/>
      <c r="Q92" s="35">
        <v>0</v>
      </c>
      <c r="R92" s="35"/>
      <c r="S92" s="35">
        <v>0</v>
      </c>
      <c r="T92" s="35"/>
      <c r="U92" s="35">
        <f t="shared" si="13"/>
        <v>0</v>
      </c>
      <c r="V92" s="35">
        <f t="shared" si="19"/>
        <v>0</v>
      </c>
      <c r="W92" s="35"/>
      <c r="X92" s="23" t="s">
        <v>79</v>
      </c>
      <c r="Y92" s="35"/>
      <c r="Z92" s="35">
        <v>0</v>
      </c>
      <c r="AA92" s="35"/>
      <c r="AB92" s="35">
        <v>0</v>
      </c>
      <c r="AC92" s="35"/>
      <c r="AD92" s="35">
        <v>0</v>
      </c>
      <c r="AE92" s="35"/>
      <c r="AF92" s="35">
        <f t="shared" si="14"/>
        <v>0</v>
      </c>
      <c r="AG92" s="35"/>
      <c r="AH92" s="35">
        <v>0</v>
      </c>
      <c r="AI92" s="35"/>
      <c r="AJ92" s="35">
        <v>0</v>
      </c>
      <c r="AK92" s="35"/>
      <c r="AL92" s="35">
        <v>0</v>
      </c>
      <c r="AM92" s="35"/>
      <c r="AN92" s="35">
        <v>0</v>
      </c>
      <c r="AO92" s="35"/>
      <c r="AP92" s="35">
        <f t="shared" si="15"/>
        <v>0</v>
      </c>
      <c r="AQ92" s="35"/>
      <c r="AR92" s="35">
        <v>0</v>
      </c>
      <c r="AS92" s="35"/>
      <c r="AT92" s="35">
        <v>0</v>
      </c>
      <c r="AU92" s="35"/>
      <c r="AV92" s="35">
        <f t="shared" si="16"/>
        <v>0</v>
      </c>
      <c r="AW92" s="35"/>
      <c r="AX92" s="23" t="s">
        <v>79</v>
      </c>
      <c r="AY92" s="35"/>
      <c r="AZ92" s="35">
        <v>0</v>
      </c>
      <c r="BA92" s="35"/>
      <c r="BB92" s="35">
        <v>0</v>
      </c>
      <c r="BC92" s="35"/>
      <c r="BD92" s="35">
        <v>0</v>
      </c>
      <c r="BE92" s="35"/>
      <c r="BF92" s="35">
        <v>0</v>
      </c>
      <c r="BG92" s="35"/>
      <c r="BH92" s="35"/>
      <c r="BI92" s="35"/>
      <c r="BJ92" s="17">
        <f t="shared" si="17"/>
        <v>0</v>
      </c>
    </row>
    <row r="93" spans="1:62" s="36" customFormat="1" ht="12">
      <c r="A93" s="23" t="s">
        <v>80</v>
      </c>
      <c r="B93" s="23"/>
      <c r="C93" s="35">
        <f t="shared" si="12"/>
        <v>22212680</v>
      </c>
      <c r="D93" s="35"/>
      <c r="E93" s="35">
        <v>101211474</v>
      </c>
      <c r="F93" s="35"/>
      <c r="G93" s="35">
        <v>123424154</v>
      </c>
      <c r="H93" s="35"/>
      <c r="I93" s="35">
        <f t="shared" si="18"/>
        <v>5283306</v>
      </c>
      <c r="J93" s="35"/>
      <c r="K93" s="35">
        <f t="shared" si="11"/>
        <v>15754179</v>
      </c>
      <c r="L93" s="35"/>
      <c r="M93" s="35">
        <v>21037485</v>
      </c>
      <c r="N93" s="35"/>
      <c r="O93" s="35">
        <v>81341852</v>
      </c>
      <c r="P93" s="35"/>
      <c r="Q93" s="35">
        <v>139125</v>
      </c>
      <c r="R93" s="35"/>
      <c r="S93" s="35">
        <v>23905692</v>
      </c>
      <c r="T93" s="35"/>
      <c r="U93" s="35">
        <f t="shared" si="13"/>
        <v>105386669</v>
      </c>
      <c r="V93" s="35">
        <f t="shared" si="19"/>
        <v>-3000000</v>
      </c>
      <c r="W93" s="35"/>
      <c r="X93" s="23" t="s">
        <v>80</v>
      </c>
      <c r="Y93" s="35"/>
      <c r="Z93" s="35">
        <v>11095991</v>
      </c>
      <c r="AA93" s="35"/>
      <c r="AB93" s="35">
        <f>11316677-3353081</f>
        <v>7963596</v>
      </c>
      <c r="AC93" s="35"/>
      <c r="AD93" s="35">
        <v>3353081</v>
      </c>
      <c r="AE93" s="35"/>
      <c r="AF93" s="35">
        <f t="shared" si="14"/>
        <v>-220686</v>
      </c>
      <c r="AG93" s="35"/>
      <c r="AH93" s="35">
        <v>-104272</v>
      </c>
      <c r="AI93" s="35"/>
      <c r="AJ93" s="35">
        <v>0</v>
      </c>
      <c r="AK93" s="35"/>
      <c r="AL93" s="35">
        <v>0</v>
      </c>
      <c r="AM93" s="35"/>
      <c r="AN93" s="35">
        <f>3701775+4762435</f>
        <v>8464210</v>
      </c>
      <c r="AO93" s="35"/>
      <c r="AP93" s="35">
        <f t="shared" si="15"/>
        <v>8139252</v>
      </c>
      <c r="AQ93" s="35"/>
      <c r="AR93" s="35">
        <v>0</v>
      </c>
      <c r="AS93" s="35"/>
      <c r="AT93" s="35">
        <v>0</v>
      </c>
      <c r="AU93" s="35"/>
      <c r="AV93" s="35">
        <f t="shared" si="16"/>
        <v>16929374</v>
      </c>
      <c r="AW93" s="35"/>
      <c r="AX93" s="23" t="s">
        <v>80</v>
      </c>
      <c r="AY93" s="35"/>
      <c r="AZ93" s="35">
        <v>0</v>
      </c>
      <c r="BA93" s="35"/>
      <c r="BB93" s="35">
        <v>10541127</v>
      </c>
      <c r="BC93" s="35"/>
      <c r="BD93" s="35">
        <v>5000138</v>
      </c>
      <c r="BE93" s="35"/>
      <c r="BF93" s="35">
        <v>212914</v>
      </c>
      <c r="BG93" s="35"/>
      <c r="BH93" s="35"/>
      <c r="BI93" s="35"/>
      <c r="BJ93" s="17">
        <f t="shared" si="17"/>
        <v>15754179</v>
      </c>
    </row>
    <row r="94" spans="1:62" s="36" customFormat="1" ht="12" hidden="1">
      <c r="A94" s="23" t="s">
        <v>81</v>
      </c>
      <c r="B94" s="23"/>
      <c r="C94" s="35">
        <f t="shared" si="12"/>
        <v>0</v>
      </c>
      <c r="D94" s="35"/>
      <c r="E94" s="35">
        <v>0</v>
      </c>
      <c r="F94" s="35"/>
      <c r="G94" s="35">
        <v>0</v>
      </c>
      <c r="H94" s="35"/>
      <c r="I94" s="35">
        <f>+M94-K94</f>
        <v>0</v>
      </c>
      <c r="J94" s="35"/>
      <c r="K94" s="35">
        <f t="shared" si="11"/>
        <v>0</v>
      </c>
      <c r="L94" s="35"/>
      <c r="M94" s="35">
        <v>0</v>
      </c>
      <c r="N94" s="35"/>
      <c r="O94" s="35">
        <v>0</v>
      </c>
      <c r="P94" s="35"/>
      <c r="Q94" s="35">
        <v>0</v>
      </c>
      <c r="R94" s="35"/>
      <c r="S94" s="35">
        <v>0</v>
      </c>
      <c r="T94" s="35"/>
      <c r="U94" s="35">
        <f t="shared" si="13"/>
        <v>0</v>
      </c>
      <c r="V94" s="35">
        <f t="shared" si="19"/>
        <v>0</v>
      </c>
      <c r="W94" s="35"/>
      <c r="X94" s="23" t="s">
        <v>81</v>
      </c>
      <c r="Y94" s="35"/>
      <c r="Z94" s="35">
        <v>0</v>
      </c>
      <c r="AA94" s="35"/>
      <c r="AB94" s="35">
        <v>0</v>
      </c>
      <c r="AC94" s="35"/>
      <c r="AD94" s="35">
        <v>0</v>
      </c>
      <c r="AE94" s="35"/>
      <c r="AF94" s="35">
        <f t="shared" si="14"/>
        <v>0</v>
      </c>
      <c r="AG94" s="35"/>
      <c r="AH94" s="35">
        <v>0</v>
      </c>
      <c r="AI94" s="35"/>
      <c r="AJ94" s="35">
        <v>0</v>
      </c>
      <c r="AK94" s="35"/>
      <c r="AL94" s="35">
        <v>0</v>
      </c>
      <c r="AM94" s="35"/>
      <c r="AN94" s="35">
        <v>0</v>
      </c>
      <c r="AO94" s="35"/>
      <c r="AP94" s="35">
        <f t="shared" si="15"/>
        <v>0</v>
      </c>
      <c r="AQ94" s="35"/>
      <c r="AR94" s="35">
        <v>0</v>
      </c>
      <c r="AS94" s="35"/>
      <c r="AT94" s="35">
        <v>0</v>
      </c>
      <c r="AU94" s="35"/>
      <c r="AV94" s="35">
        <f t="shared" si="16"/>
        <v>0</v>
      </c>
      <c r="AW94" s="35"/>
      <c r="AX94" s="23" t="s">
        <v>81</v>
      </c>
      <c r="AY94" s="35"/>
      <c r="AZ94" s="35">
        <v>0</v>
      </c>
      <c r="BA94" s="35"/>
      <c r="BB94" s="35">
        <v>0</v>
      </c>
      <c r="BC94" s="35"/>
      <c r="BD94" s="35">
        <v>0</v>
      </c>
      <c r="BE94" s="35"/>
      <c r="BF94" s="35">
        <v>0</v>
      </c>
      <c r="BG94" s="35"/>
      <c r="BH94" s="35"/>
      <c r="BI94" s="35"/>
      <c r="BJ94" s="17">
        <f t="shared" si="17"/>
        <v>0</v>
      </c>
    </row>
    <row r="95" spans="1:62" s="36" customFormat="1" ht="12">
      <c r="A95" s="23" t="s">
        <v>82</v>
      </c>
      <c r="B95" s="23"/>
      <c r="C95" s="35">
        <v>17545</v>
      </c>
      <c r="D95" s="35"/>
      <c r="E95" s="35">
        <v>0</v>
      </c>
      <c r="F95" s="35"/>
      <c r="G95" s="35">
        <v>17545</v>
      </c>
      <c r="H95" s="35"/>
      <c r="I95" s="35">
        <f>+M95-K95</f>
        <v>0</v>
      </c>
      <c r="J95" s="35"/>
      <c r="K95" s="35">
        <f t="shared" si="11"/>
        <v>0</v>
      </c>
      <c r="L95" s="35"/>
      <c r="M95" s="35">
        <v>0</v>
      </c>
      <c r="N95" s="35"/>
      <c r="O95" s="35">
        <v>0</v>
      </c>
      <c r="P95" s="35"/>
      <c r="Q95" s="35">
        <v>0</v>
      </c>
      <c r="R95" s="35"/>
      <c r="S95" s="35">
        <v>17545</v>
      </c>
      <c r="T95" s="35"/>
      <c r="U95" s="35">
        <f t="shared" si="13"/>
        <v>17545</v>
      </c>
      <c r="V95" s="35">
        <f t="shared" si="19"/>
        <v>0</v>
      </c>
      <c r="W95" s="35"/>
      <c r="X95" s="23" t="s">
        <v>82</v>
      </c>
      <c r="Y95" s="35"/>
      <c r="Z95" s="35">
        <v>0</v>
      </c>
      <c r="AA95" s="35"/>
      <c r="AB95" s="35">
        <v>28455</v>
      </c>
      <c r="AC95" s="35"/>
      <c r="AD95" s="35">
        <v>0</v>
      </c>
      <c r="AE95" s="35"/>
      <c r="AF95" s="35">
        <f t="shared" si="14"/>
        <v>-28455</v>
      </c>
      <c r="AG95" s="35"/>
      <c r="AH95" s="35">
        <v>36000</v>
      </c>
      <c r="AI95" s="35"/>
      <c r="AJ95" s="35">
        <v>10000</v>
      </c>
      <c r="AK95" s="35"/>
      <c r="AL95" s="35">
        <v>0</v>
      </c>
      <c r="AM95" s="35"/>
      <c r="AN95" s="35">
        <v>0</v>
      </c>
      <c r="AO95" s="35"/>
      <c r="AP95" s="35">
        <f t="shared" si="15"/>
        <v>17545</v>
      </c>
      <c r="AQ95" s="35"/>
      <c r="AR95" s="35">
        <v>0</v>
      </c>
      <c r="AS95" s="35"/>
      <c r="AT95" s="35">
        <v>0</v>
      </c>
      <c r="AU95" s="35"/>
      <c r="AV95" s="35">
        <f t="shared" si="16"/>
        <v>17545</v>
      </c>
      <c r="AW95" s="35"/>
      <c r="AX95" s="23" t="s">
        <v>82</v>
      </c>
      <c r="AY95" s="35"/>
      <c r="AZ95" s="35">
        <v>0</v>
      </c>
      <c r="BA95" s="35"/>
      <c r="BB95" s="35">
        <v>0</v>
      </c>
      <c r="BC95" s="35"/>
      <c r="BD95" s="35">
        <v>0</v>
      </c>
      <c r="BE95" s="35"/>
      <c r="BF95" s="35">
        <v>0</v>
      </c>
      <c r="BG95" s="35"/>
      <c r="BH95" s="35"/>
      <c r="BI95" s="35"/>
      <c r="BJ95" s="17">
        <f t="shared" si="17"/>
        <v>0</v>
      </c>
    </row>
    <row r="96" spans="1:62" s="36" customFormat="1" ht="12" hidden="1">
      <c r="A96" s="23" t="s">
        <v>174</v>
      </c>
      <c r="B96" s="23"/>
      <c r="C96" s="35">
        <f t="shared" si="12"/>
        <v>0</v>
      </c>
      <c r="D96" s="35"/>
      <c r="E96" s="35">
        <v>0</v>
      </c>
      <c r="F96" s="35"/>
      <c r="G96" s="35">
        <v>0</v>
      </c>
      <c r="H96" s="35"/>
      <c r="I96" s="35">
        <f>+M96-K96</f>
        <v>0</v>
      </c>
      <c r="J96" s="35"/>
      <c r="K96" s="35">
        <f t="shared" si="11"/>
        <v>0</v>
      </c>
      <c r="L96" s="35"/>
      <c r="M96" s="35">
        <v>0</v>
      </c>
      <c r="N96" s="35"/>
      <c r="O96" s="35">
        <v>0</v>
      </c>
      <c r="P96" s="35"/>
      <c r="Q96" s="35">
        <v>0</v>
      </c>
      <c r="R96" s="35"/>
      <c r="S96" s="35">
        <v>0</v>
      </c>
      <c r="T96" s="35"/>
      <c r="U96" s="35">
        <f t="shared" si="13"/>
        <v>0</v>
      </c>
      <c r="V96" s="35">
        <f t="shared" si="19"/>
        <v>0</v>
      </c>
      <c r="W96" s="35"/>
      <c r="X96" s="23" t="s">
        <v>174</v>
      </c>
      <c r="Y96" s="35"/>
      <c r="Z96" s="35">
        <v>0</v>
      </c>
      <c r="AA96" s="35"/>
      <c r="AB96" s="35">
        <v>0</v>
      </c>
      <c r="AC96" s="35"/>
      <c r="AD96" s="35">
        <v>0</v>
      </c>
      <c r="AE96" s="35"/>
      <c r="AF96" s="35">
        <f t="shared" si="14"/>
        <v>0</v>
      </c>
      <c r="AG96" s="35"/>
      <c r="AH96" s="35">
        <v>0</v>
      </c>
      <c r="AI96" s="35"/>
      <c r="AJ96" s="35">
        <v>0</v>
      </c>
      <c r="AK96" s="35"/>
      <c r="AL96" s="35">
        <v>0</v>
      </c>
      <c r="AM96" s="35"/>
      <c r="AN96" s="35">
        <v>0</v>
      </c>
      <c r="AO96" s="35"/>
      <c r="AP96" s="35">
        <f t="shared" si="15"/>
        <v>0</v>
      </c>
      <c r="AQ96" s="35"/>
      <c r="AR96" s="35">
        <v>0</v>
      </c>
      <c r="AS96" s="35"/>
      <c r="AT96" s="35">
        <v>0</v>
      </c>
      <c r="AU96" s="35"/>
      <c r="AV96" s="35">
        <f t="shared" si="16"/>
        <v>0</v>
      </c>
      <c r="AW96" s="35"/>
      <c r="AX96" s="23" t="s">
        <v>174</v>
      </c>
      <c r="AY96" s="35"/>
      <c r="AZ96" s="35">
        <v>0</v>
      </c>
      <c r="BA96" s="35"/>
      <c r="BB96" s="35">
        <v>0</v>
      </c>
      <c r="BC96" s="35"/>
      <c r="BD96" s="35">
        <v>0</v>
      </c>
      <c r="BE96" s="35"/>
      <c r="BF96" s="35">
        <v>0</v>
      </c>
      <c r="BG96" s="35"/>
      <c r="BH96" s="35"/>
      <c r="BI96" s="35"/>
      <c r="BJ96" s="17">
        <f t="shared" si="17"/>
        <v>0</v>
      </c>
    </row>
    <row r="97" spans="1:62" s="36" customFormat="1" ht="12" hidden="1">
      <c r="A97" s="23" t="s">
        <v>83</v>
      </c>
      <c r="B97" s="23"/>
      <c r="C97" s="35">
        <f t="shared" si="12"/>
        <v>0</v>
      </c>
      <c r="D97" s="35"/>
      <c r="E97" s="35">
        <v>0</v>
      </c>
      <c r="F97" s="35"/>
      <c r="G97" s="35">
        <v>0</v>
      </c>
      <c r="H97" s="35"/>
      <c r="I97" s="35">
        <f>+M97-K97</f>
        <v>0</v>
      </c>
      <c r="J97" s="35"/>
      <c r="K97" s="35">
        <f t="shared" si="11"/>
        <v>0</v>
      </c>
      <c r="L97" s="35"/>
      <c r="M97" s="35">
        <v>0</v>
      </c>
      <c r="N97" s="35"/>
      <c r="O97" s="35">
        <v>0</v>
      </c>
      <c r="P97" s="35"/>
      <c r="Q97" s="35">
        <v>0</v>
      </c>
      <c r="R97" s="35"/>
      <c r="S97" s="35">
        <v>0</v>
      </c>
      <c r="T97" s="35"/>
      <c r="U97" s="35">
        <f t="shared" si="13"/>
        <v>0</v>
      </c>
      <c r="V97" s="35">
        <f t="shared" si="19"/>
        <v>0</v>
      </c>
      <c r="W97" s="35"/>
      <c r="X97" s="23" t="s">
        <v>83</v>
      </c>
      <c r="Y97" s="35"/>
      <c r="Z97" s="35">
        <v>0</v>
      </c>
      <c r="AA97" s="35"/>
      <c r="AB97" s="35">
        <v>0</v>
      </c>
      <c r="AC97" s="35"/>
      <c r="AD97" s="35">
        <v>0</v>
      </c>
      <c r="AE97" s="35"/>
      <c r="AF97" s="35">
        <f t="shared" si="14"/>
        <v>0</v>
      </c>
      <c r="AG97" s="35"/>
      <c r="AH97" s="35">
        <v>0</v>
      </c>
      <c r="AI97" s="35"/>
      <c r="AJ97" s="35">
        <v>0</v>
      </c>
      <c r="AK97" s="35"/>
      <c r="AL97" s="35">
        <v>0</v>
      </c>
      <c r="AM97" s="35"/>
      <c r="AN97" s="35">
        <v>0</v>
      </c>
      <c r="AO97" s="35"/>
      <c r="AP97" s="35">
        <f t="shared" si="15"/>
        <v>0</v>
      </c>
      <c r="AQ97" s="35"/>
      <c r="AR97" s="35">
        <v>0</v>
      </c>
      <c r="AS97" s="35"/>
      <c r="AT97" s="35">
        <v>0</v>
      </c>
      <c r="AU97" s="35"/>
      <c r="AV97" s="35">
        <f t="shared" si="16"/>
        <v>0</v>
      </c>
      <c r="AW97" s="35"/>
      <c r="AX97" s="23" t="s">
        <v>83</v>
      </c>
      <c r="AY97" s="35"/>
      <c r="AZ97" s="35">
        <v>0</v>
      </c>
      <c r="BA97" s="35"/>
      <c r="BB97" s="35">
        <v>0</v>
      </c>
      <c r="BC97" s="35"/>
      <c r="BD97" s="35">
        <v>0</v>
      </c>
      <c r="BE97" s="35"/>
      <c r="BF97" s="35">
        <v>0</v>
      </c>
      <c r="BG97" s="35"/>
      <c r="BH97" s="35"/>
      <c r="BI97" s="35"/>
      <c r="BJ97" s="17">
        <f t="shared" si="17"/>
        <v>0</v>
      </c>
    </row>
    <row r="98" spans="1:62" s="36" customFormat="1" ht="12" hidden="1">
      <c r="A98" s="23" t="s">
        <v>175</v>
      </c>
      <c r="B98" s="23"/>
      <c r="C98" s="35">
        <v>0</v>
      </c>
      <c r="D98" s="35"/>
      <c r="E98" s="35">
        <v>0</v>
      </c>
      <c r="F98" s="35"/>
      <c r="G98" s="35">
        <v>0</v>
      </c>
      <c r="H98" s="35"/>
      <c r="I98" s="35">
        <v>0</v>
      </c>
      <c r="J98" s="35"/>
      <c r="K98" s="35">
        <v>0</v>
      </c>
      <c r="L98" s="35"/>
      <c r="M98" s="35">
        <v>0</v>
      </c>
      <c r="N98" s="35"/>
      <c r="O98" s="35">
        <v>0</v>
      </c>
      <c r="P98" s="35"/>
      <c r="Q98" s="35">
        <v>0</v>
      </c>
      <c r="R98" s="35"/>
      <c r="S98" s="35">
        <v>0</v>
      </c>
      <c r="T98" s="35"/>
      <c r="U98" s="35">
        <v>0</v>
      </c>
      <c r="V98" s="35"/>
      <c r="W98" s="35"/>
      <c r="X98" s="35"/>
      <c r="Y98" s="35"/>
      <c r="Z98" s="35">
        <v>0</v>
      </c>
      <c r="AA98" s="35"/>
      <c r="AB98" s="35">
        <v>0</v>
      </c>
      <c r="AC98" s="35"/>
      <c r="AD98" s="35">
        <v>0</v>
      </c>
      <c r="AE98" s="35"/>
      <c r="AF98" s="35">
        <v>0</v>
      </c>
      <c r="AG98" s="35"/>
      <c r="AH98" s="35">
        <v>0</v>
      </c>
      <c r="AI98" s="35"/>
      <c r="AJ98" s="35">
        <v>0</v>
      </c>
      <c r="AK98" s="35"/>
      <c r="AL98" s="35">
        <v>0</v>
      </c>
      <c r="AM98" s="35"/>
      <c r="AN98" s="35">
        <v>0</v>
      </c>
      <c r="AO98" s="35"/>
      <c r="AP98" s="35">
        <v>0</v>
      </c>
      <c r="AQ98" s="35"/>
      <c r="AR98" s="35">
        <v>0</v>
      </c>
      <c r="AS98" s="35"/>
      <c r="AT98" s="35">
        <v>0</v>
      </c>
      <c r="AU98" s="35"/>
      <c r="AV98" s="35">
        <v>0</v>
      </c>
      <c r="AW98" s="35"/>
      <c r="AX98" s="35"/>
      <c r="AY98" s="35"/>
      <c r="AZ98" s="35">
        <v>0</v>
      </c>
      <c r="BA98" s="35"/>
      <c r="BB98" s="35">
        <v>0</v>
      </c>
      <c r="BC98" s="35"/>
      <c r="BD98" s="35">
        <v>0</v>
      </c>
      <c r="BE98" s="35"/>
      <c r="BF98" s="35">
        <v>0</v>
      </c>
      <c r="BG98" s="35"/>
      <c r="BH98" s="35"/>
      <c r="BI98" s="35"/>
      <c r="BJ98" s="17">
        <f>SUM(AZ98:BF98)+BH98</f>
        <v>0</v>
      </c>
    </row>
    <row r="99" spans="1:39" s="36" customFormat="1" ht="12">
      <c r="A99" s="23"/>
      <c r="B99" s="23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68"/>
      <c r="AC99" s="68"/>
      <c r="AD99" s="68"/>
      <c r="AE99" s="68"/>
      <c r="AF99" s="78"/>
      <c r="AG99" s="78"/>
      <c r="AH99" s="78"/>
      <c r="AI99" s="78"/>
      <c r="AJ99" s="78"/>
      <c r="AK99" s="78"/>
      <c r="AL99" s="78"/>
      <c r="AM99" s="78"/>
    </row>
    <row r="100" spans="3:31" ht="12.7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84"/>
      <c r="AC100" s="84"/>
      <c r="AD100" s="84"/>
      <c r="AE100" s="84"/>
    </row>
    <row r="101" spans="3:31" ht="12.7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84"/>
      <c r="AC101" s="84"/>
      <c r="AD101" s="84"/>
      <c r="AE101" s="84"/>
    </row>
    <row r="102" spans="3:31" ht="12.7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84"/>
      <c r="AC102" s="84"/>
      <c r="AD102" s="84"/>
      <c r="AE102" s="84"/>
    </row>
    <row r="103" spans="3:31" ht="12.7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84"/>
      <c r="AC103" s="84"/>
      <c r="AD103" s="84"/>
      <c r="AE103" s="84"/>
    </row>
    <row r="104" spans="3:31" ht="12.7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84"/>
      <c r="AC104" s="84"/>
      <c r="AD104" s="84"/>
      <c r="AE104" s="84"/>
    </row>
    <row r="105" spans="3:31" ht="12.7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84"/>
      <c r="AC105" s="84"/>
      <c r="AD105" s="84"/>
      <c r="AE105" s="84"/>
    </row>
    <row r="106" spans="3:31" ht="12.7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84"/>
      <c r="AC106" s="84"/>
      <c r="AD106" s="84"/>
      <c r="AE106" s="84"/>
    </row>
    <row r="107" spans="3:31" ht="12.7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84"/>
      <c r="AC107" s="84"/>
      <c r="AD107" s="84"/>
      <c r="AE107" s="84"/>
    </row>
    <row r="108" spans="3:31" ht="12.7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84"/>
      <c r="AC108" s="84"/>
      <c r="AD108" s="84"/>
      <c r="AE108" s="84"/>
    </row>
    <row r="109" spans="3:31" ht="12.7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84"/>
      <c r="AC109" s="84"/>
      <c r="AD109" s="84"/>
      <c r="AE109" s="84"/>
    </row>
    <row r="110" spans="3:31" ht="12.7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84"/>
      <c r="AC110" s="84"/>
      <c r="AD110" s="84"/>
      <c r="AE110" s="84"/>
    </row>
    <row r="111" spans="3:31" ht="12.7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84"/>
      <c r="AC111" s="84"/>
      <c r="AD111" s="84"/>
      <c r="AE111" s="84"/>
    </row>
    <row r="112" spans="3:31" ht="12.7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84"/>
      <c r="AC112" s="84"/>
      <c r="AD112" s="84"/>
      <c r="AE112" s="84"/>
    </row>
    <row r="113" spans="3:31" ht="12.7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84"/>
      <c r="AC113" s="84"/>
      <c r="AD113" s="84"/>
      <c r="AE113" s="84"/>
    </row>
    <row r="114" spans="3:31" ht="12.7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84"/>
      <c r="AC114" s="84"/>
      <c r="AD114" s="84"/>
      <c r="AE114" s="84"/>
    </row>
    <row r="115" spans="3:31" ht="12.7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84"/>
      <c r="AC115" s="84"/>
      <c r="AD115" s="84"/>
      <c r="AE115" s="84"/>
    </row>
  </sheetData>
  <sheetProtection/>
  <printOptions/>
  <pageMargins left="1" right="1" top="0.5" bottom="0.5" header="0" footer="0.25"/>
  <pageSetup firstPageNumber="40" useFirstPageNumber="1" horizontalDpi="600" verticalDpi="600" orientation="portrait" r:id="rId1"/>
  <headerFooter alignWithMargins="0">
    <oddFooter>&amp;C&amp;"Times New Roman,Regular"&amp;11&amp;P</oddFooter>
  </headerFooter>
  <colBreaks count="2" manualBreakCount="2">
    <brk id="21" max="97" man="1"/>
    <brk id="49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BW133"/>
  <sheetViews>
    <sheetView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Y2" sqref="Y2"/>
    </sheetView>
  </sheetViews>
  <sheetFormatPr defaultColWidth="8.421875" defaultRowHeight="12.75"/>
  <cols>
    <col min="1" max="1" width="18.00390625" style="114" customWidth="1"/>
    <col min="2" max="2" width="1.7109375" style="114" customWidth="1"/>
    <col min="3" max="3" width="11.7109375" style="114" customWidth="1"/>
    <col min="4" max="4" width="1.7109375" style="114" customWidth="1"/>
    <col min="5" max="5" width="11.7109375" style="114" customWidth="1"/>
    <col min="6" max="6" width="1.7109375" style="114" customWidth="1"/>
    <col min="7" max="7" width="11.7109375" style="114" customWidth="1"/>
    <col min="8" max="8" width="1.7109375" style="114" customWidth="1"/>
    <col min="9" max="9" width="11.7109375" style="114" customWidth="1"/>
    <col min="10" max="10" width="1.7109375" style="114" customWidth="1"/>
    <col min="11" max="11" width="11.7109375" style="114" customWidth="1"/>
    <col min="12" max="12" width="1.7109375" style="114" customWidth="1"/>
    <col min="13" max="13" width="11.7109375" style="114" customWidth="1"/>
    <col min="14" max="14" width="1.7109375" style="114" customWidth="1"/>
    <col min="15" max="15" width="11.7109375" style="114" customWidth="1"/>
    <col min="16" max="16" width="1.7109375" style="114" customWidth="1"/>
    <col min="17" max="17" width="11.7109375" style="114" customWidth="1"/>
    <col min="18" max="18" width="1.7109375" style="114" customWidth="1"/>
    <col min="19" max="19" width="11.7109375" style="114" customWidth="1"/>
    <col min="20" max="20" width="1.7109375" style="114" customWidth="1"/>
    <col min="21" max="21" width="11.7109375" style="114" customWidth="1"/>
    <col min="22" max="22" width="1.7109375" style="114" customWidth="1"/>
    <col min="23" max="23" width="11.7109375" style="114" hidden="1" customWidth="1"/>
    <col min="24" max="24" width="1.7109375" style="114" hidden="1" customWidth="1"/>
    <col min="25" max="25" width="15.7109375" style="114" customWidth="1"/>
    <col min="26" max="26" width="1.7109375" style="114" customWidth="1"/>
    <col min="27" max="27" width="10.7109375" style="114" customWidth="1"/>
    <col min="28" max="28" width="1.7109375" style="114" customWidth="1"/>
    <col min="29" max="29" width="10.7109375" style="114" customWidth="1"/>
    <col min="30" max="30" width="1.7109375" style="114" customWidth="1"/>
    <col min="31" max="31" width="10.7109375" style="114" customWidth="1"/>
    <col min="32" max="32" width="1.7109375" style="114" customWidth="1"/>
    <col min="33" max="33" width="11.7109375" style="114" customWidth="1"/>
    <col min="34" max="34" width="1.7109375" style="117" customWidth="1"/>
    <col min="35" max="35" width="10.7109375" style="117" customWidth="1"/>
    <col min="36" max="36" width="1.7109375" style="117" customWidth="1"/>
    <col min="37" max="37" width="10.7109375" style="117" customWidth="1"/>
    <col min="38" max="38" width="1.7109375" style="117" customWidth="1"/>
    <col min="39" max="39" width="10.7109375" style="117" customWidth="1"/>
    <col min="40" max="40" width="1.7109375" style="117" customWidth="1"/>
    <col min="41" max="41" width="10.7109375" style="82" customWidth="1"/>
    <col min="42" max="42" width="1.7109375" style="82" customWidth="1"/>
    <col min="43" max="43" width="11.7109375" style="114" customWidth="1"/>
    <col min="44" max="44" width="1.7109375" style="82" hidden="1" customWidth="1"/>
    <col min="45" max="45" width="10.7109375" style="82" hidden="1" customWidth="1"/>
    <col min="46" max="46" width="1.7109375" style="82" hidden="1" customWidth="1"/>
    <col min="47" max="47" width="10.7109375" style="82" hidden="1" customWidth="1"/>
    <col min="48" max="48" width="1.7109375" style="82" customWidth="1"/>
    <col min="49" max="49" width="11.7109375" style="114" customWidth="1"/>
    <col min="50" max="50" width="1.7109375" style="82" customWidth="1"/>
    <col min="51" max="51" width="15.7109375" style="114" customWidth="1"/>
    <col min="52" max="52" width="1.7109375" style="82" customWidth="1"/>
    <col min="53" max="53" width="10.7109375" style="82" customWidth="1"/>
    <col min="54" max="54" width="1.7109375" style="82" customWidth="1"/>
    <col min="55" max="55" width="10.7109375" style="82" customWidth="1"/>
    <col min="56" max="56" width="1.7109375" style="82" customWidth="1"/>
    <col min="57" max="57" width="10.7109375" style="82" customWidth="1"/>
    <col min="58" max="58" width="1.7109375" style="82" customWidth="1"/>
    <col min="59" max="59" width="10.7109375" style="82" customWidth="1"/>
    <col min="60" max="60" width="1.7109375" style="82" customWidth="1"/>
    <col min="61" max="61" width="10.7109375" style="82" hidden="1" customWidth="1"/>
    <col min="62" max="62" width="1.7109375" style="82" hidden="1" customWidth="1"/>
    <col min="63" max="63" width="11.7109375" style="114" customWidth="1"/>
    <col min="64" max="64" width="9.28125" style="82" bestFit="1" customWidth="1"/>
    <col min="65" max="16384" width="8.421875" style="82" customWidth="1"/>
  </cols>
  <sheetData>
    <row r="1" spans="1:65" s="110" customFormat="1" ht="12.75">
      <c r="A1" s="107" t="s">
        <v>196</v>
      </c>
      <c r="B1" s="10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5" t="s">
        <v>196</v>
      </c>
      <c r="Z1" s="106"/>
      <c r="AA1" s="106"/>
      <c r="AB1" s="106"/>
      <c r="AC1" s="85"/>
      <c r="AD1" s="85"/>
      <c r="AE1" s="85"/>
      <c r="AF1" s="85"/>
      <c r="AG1" s="106"/>
      <c r="AH1" s="85"/>
      <c r="AI1" s="85"/>
      <c r="AJ1" s="85"/>
      <c r="AK1" s="85"/>
      <c r="AL1" s="85"/>
      <c r="AM1" s="85"/>
      <c r="AN1" s="85"/>
      <c r="AO1" s="109"/>
      <c r="AP1" s="109"/>
      <c r="AQ1" s="106"/>
      <c r="AR1" s="109"/>
      <c r="AS1" s="109"/>
      <c r="AT1" s="109"/>
      <c r="AU1" s="109"/>
      <c r="AV1" s="109"/>
      <c r="AW1" s="106"/>
      <c r="AX1" s="109"/>
      <c r="AY1" s="107" t="s">
        <v>196</v>
      </c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6"/>
      <c r="BL1" s="109"/>
      <c r="BM1" s="109"/>
    </row>
    <row r="2" spans="1:65" s="110" customFormat="1" ht="12.75">
      <c r="A2" s="63" t="s">
        <v>137</v>
      </c>
      <c r="B2" s="10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63" t="s">
        <v>254</v>
      </c>
      <c r="Z2" s="106"/>
      <c r="AA2" s="106"/>
      <c r="AB2" s="106"/>
      <c r="AC2" s="85"/>
      <c r="AD2" s="85"/>
      <c r="AE2" s="85"/>
      <c r="AF2" s="85"/>
      <c r="AG2" s="106"/>
      <c r="AH2" s="85"/>
      <c r="AI2" s="85"/>
      <c r="AJ2" s="85"/>
      <c r="AK2" s="85"/>
      <c r="AL2" s="85"/>
      <c r="AM2" s="85"/>
      <c r="AN2" s="85"/>
      <c r="AO2" s="109"/>
      <c r="AP2" s="109"/>
      <c r="AQ2" s="106"/>
      <c r="AR2" s="109"/>
      <c r="AS2" s="109"/>
      <c r="AT2" s="109"/>
      <c r="AU2" s="109"/>
      <c r="AV2" s="109"/>
      <c r="AW2" s="106"/>
      <c r="AX2" s="109"/>
      <c r="AY2" s="107" t="s">
        <v>102</v>
      </c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6"/>
      <c r="BL2" s="109"/>
      <c r="BM2" s="109"/>
    </row>
    <row r="3" spans="1:64" s="110" customFormat="1" ht="12.75">
      <c r="A3" s="63" t="s">
        <v>250</v>
      </c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57" t="s">
        <v>249</v>
      </c>
      <c r="Z3" s="106"/>
      <c r="AA3" s="106"/>
      <c r="AB3" s="106"/>
      <c r="AC3" s="85"/>
      <c r="AD3" s="85"/>
      <c r="AE3" s="85"/>
      <c r="AF3" s="85"/>
      <c r="AG3" s="106"/>
      <c r="AH3" s="85"/>
      <c r="AI3" s="85"/>
      <c r="AJ3" s="85"/>
      <c r="AK3" s="85"/>
      <c r="AL3" s="85"/>
      <c r="AM3" s="85"/>
      <c r="AN3" s="85"/>
      <c r="AO3" s="109"/>
      <c r="AP3" s="109"/>
      <c r="AQ3" s="106"/>
      <c r="AR3" s="109"/>
      <c r="AS3" s="109"/>
      <c r="AT3" s="109"/>
      <c r="AU3" s="109"/>
      <c r="AV3" s="109"/>
      <c r="AW3" s="106"/>
      <c r="AX3" s="109"/>
      <c r="AY3" s="63" t="s">
        <v>247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6"/>
      <c r="BL3" s="109"/>
    </row>
    <row r="4" spans="1:64" ht="12.75">
      <c r="A4" s="90"/>
      <c r="B4" s="90"/>
      <c r="C4" s="111"/>
      <c r="D4" s="111"/>
      <c r="E4" s="111"/>
      <c r="F4" s="111"/>
      <c r="G4" s="111"/>
      <c r="H4" s="111"/>
      <c r="I4" s="111"/>
      <c r="J4" s="99"/>
      <c r="K4" s="111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12"/>
      <c r="Z4" s="99"/>
      <c r="AA4" s="99"/>
      <c r="AB4" s="99"/>
      <c r="AC4" s="85"/>
      <c r="AD4" s="85"/>
      <c r="AE4" s="85"/>
      <c r="AF4" s="85"/>
      <c r="AG4" s="111"/>
      <c r="AH4" s="85"/>
      <c r="AI4" s="85"/>
      <c r="AJ4" s="85"/>
      <c r="AK4" s="85"/>
      <c r="AL4" s="85"/>
      <c r="AM4" s="85"/>
      <c r="AN4" s="85"/>
      <c r="AO4" s="79"/>
      <c r="AP4" s="79"/>
      <c r="AQ4" s="111"/>
      <c r="AR4" s="79"/>
      <c r="AS4" s="79"/>
      <c r="AT4" s="79"/>
      <c r="AU4" s="79"/>
      <c r="AV4" s="79"/>
      <c r="AW4" s="111"/>
      <c r="AX4" s="79"/>
      <c r="AY4" s="90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111"/>
      <c r="BL4" s="79"/>
    </row>
    <row r="5" spans="1:64" ht="12.75">
      <c r="A5" s="57" t="s">
        <v>184</v>
      </c>
      <c r="B5" s="11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57" t="s">
        <v>184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57" t="s">
        <v>184</v>
      </c>
      <c r="AZ5" s="21"/>
      <c r="BJ5" s="51"/>
      <c r="BK5" s="21"/>
      <c r="BL5" s="79"/>
    </row>
    <row r="6" spans="1:64" ht="12.75">
      <c r="A6" s="57"/>
      <c r="B6" s="11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138</v>
      </c>
      <c r="P6" s="50"/>
      <c r="Q6" s="50"/>
      <c r="R6" s="50"/>
      <c r="S6" s="50"/>
      <c r="T6" s="50"/>
      <c r="U6" s="50"/>
      <c r="V6" s="21"/>
      <c r="W6" s="21"/>
      <c r="X6" s="21"/>
      <c r="Y6" s="57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57"/>
      <c r="AZ6" s="21"/>
      <c r="BA6" s="50" t="s">
        <v>102</v>
      </c>
      <c r="BB6" s="50"/>
      <c r="BC6" s="50"/>
      <c r="BD6" s="50"/>
      <c r="BE6" s="50"/>
      <c r="BF6" s="50"/>
      <c r="BG6" s="50"/>
      <c r="BH6" s="51"/>
      <c r="BI6" s="51"/>
      <c r="BJ6" s="51"/>
      <c r="BK6" s="21"/>
      <c r="BL6" s="79"/>
    </row>
    <row r="7" spans="1:64" ht="12.75">
      <c r="A7" s="113"/>
      <c r="B7" s="1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108" t="s">
        <v>194</v>
      </c>
      <c r="W7" s="51"/>
      <c r="X7" s="51"/>
      <c r="Y7" s="113"/>
      <c r="Z7" s="51"/>
      <c r="AA7" s="21"/>
      <c r="AB7" s="21"/>
      <c r="AC7" s="21"/>
      <c r="AD7" s="21"/>
      <c r="AE7" s="21"/>
      <c r="AF7" s="21"/>
      <c r="AG7" s="21"/>
      <c r="AH7" s="21"/>
      <c r="AI7" s="21" t="s">
        <v>158</v>
      </c>
      <c r="AJ7" s="21"/>
      <c r="AK7" s="21"/>
      <c r="AL7" s="21"/>
      <c r="AM7" s="21"/>
      <c r="AN7" s="21"/>
      <c r="AO7" s="21"/>
      <c r="AP7" s="21"/>
      <c r="AQ7" s="21"/>
      <c r="AR7" s="21"/>
      <c r="AS7" s="21" t="s">
        <v>155</v>
      </c>
      <c r="AT7" s="21"/>
      <c r="AU7" s="21" t="s">
        <v>155</v>
      </c>
      <c r="AV7" s="21"/>
      <c r="AW7" s="21"/>
      <c r="AX7" s="21"/>
      <c r="AY7" s="113"/>
      <c r="AZ7" s="21"/>
      <c r="BA7" s="21" t="s">
        <v>103</v>
      </c>
      <c r="BB7" s="21"/>
      <c r="BC7" s="21" t="s">
        <v>104</v>
      </c>
      <c r="BD7" s="21"/>
      <c r="BE7" s="21"/>
      <c r="BF7" s="21"/>
      <c r="BG7" s="21" t="s">
        <v>105</v>
      </c>
      <c r="BH7" s="21"/>
      <c r="BI7" s="21" t="s">
        <v>191</v>
      </c>
      <c r="BJ7" s="21"/>
      <c r="BK7" s="21" t="s">
        <v>4</v>
      </c>
      <c r="BL7" s="79"/>
    </row>
    <row r="8" spans="1:64" ht="12.75">
      <c r="A8" s="113"/>
      <c r="B8" s="113"/>
      <c r="C8" s="21" t="s">
        <v>135</v>
      </c>
      <c r="D8" s="21"/>
      <c r="E8" s="21" t="s">
        <v>156</v>
      </c>
      <c r="F8" s="21"/>
      <c r="G8" s="21" t="s">
        <v>4</v>
      </c>
      <c r="H8" s="21"/>
      <c r="I8" s="21" t="s">
        <v>135</v>
      </c>
      <c r="J8" s="21"/>
      <c r="K8" s="21" t="s">
        <v>156</v>
      </c>
      <c r="L8" s="21"/>
      <c r="M8" s="21" t="s">
        <v>4</v>
      </c>
      <c r="N8" s="21"/>
      <c r="O8" s="21" t="s">
        <v>139</v>
      </c>
      <c r="P8" s="21"/>
      <c r="Q8" s="21"/>
      <c r="R8" s="21"/>
      <c r="S8" s="21"/>
      <c r="T8" s="21"/>
      <c r="U8" s="21" t="s">
        <v>232</v>
      </c>
      <c r="V8" s="21"/>
      <c r="W8" s="21"/>
      <c r="X8" s="21"/>
      <c r="Y8" s="113"/>
      <c r="Z8" s="21"/>
      <c r="AA8" s="21" t="s">
        <v>101</v>
      </c>
      <c r="AB8" s="21"/>
      <c r="AC8" s="21" t="s">
        <v>157</v>
      </c>
      <c r="AD8" s="21"/>
      <c r="AE8" s="21"/>
      <c r="AF8" s="21"/>
      <c r="AG8" s="21" t="s">
        <v>101</v>
      </c>
      <c r="AH8" s="21"/>
      <c r="AI8" s="21" t="s">
        <v>12</v>
      </c>
      <c r="AJ8" s="21"/>
      <c r="AK8" s="21"/>
      <c r="AL8" s="21"/>
      <c r="AM8" s="21"/>
      <c r="AN8" s="21"/>
      <c r="AO8" s="21" t="s">
        <v>87</v>
      </c>
      <c r="AP8" s="21"/>
      <c r="AQ8" s="21" t="s">
        <v>231</v>
      </c>
      <c r="AR8" s="21"/>
      <c r="AS8" s="21" t="s">
        <v>159</v>
      </c>
      <c r="AT8" s="21"/>
      <c r="AU8" s="21" t="s">
        <v>159</v>
      </c>
      <c r="AV8" s="21"/>
      <c r="AW8" s="21" t="s">
        <v>106</v>
      </c>
      <c r="AX8" s="21"/>
      <c r="AY8" s="113"/>
      <c r="AZ8" s="21"/>
      <c r="BA8" s="21" t="s">
        <v>107</v>
      </c>
      <c r="BB8" s="21"/>
      <c r="BC8" s="21" t="s">
        <v>12</v>
      </c>
      <c r="BD8" s="21"/>
      <c r="BE8" s="21"/>
      <c r="BF8" s="21"/>
      <c r="BG8" s="21" t="s">
        <v>108</v>
      </c>
      <c r="BH8" s="21"/>
      <c r="BI8" s="21" t="s">
        <v>192</v>
      </c>
      <c r="BJ8" s="21"/>
      <c r="BK8" s="21" t="s">
        <v>108</v>
      </c>
      <c r="BL8" s="79"/>
    </row>
    <row r="9" spans="1:64" ht="12.75">
      <c r="A9" s="115" t="s">
        <v>5</v>
      </c>
      <c r="B9" s="79"/>
      <c r="C9" s="20" t="s">
        <v>116</v>
      </c>
      <c r="D9" s="79"/>
      <c r="E9" s="20" t="s">
        <v>116</v>
      </c>
      <c r="F9" s="79"/>
      <c r="G9" s="20" t="s">
        <v>116</v>
      </c>
      <c r="H9" s="79"/>
      <c r="I9" s="20" t="s">
        <v>122</v>
      </c>
      <c r="J9" s="79"/>
      <c r="K9" s="20" t="s">
        <v>122</v>
      </c>
      <c r="L9" s="79"/>
      <c r="M9" s="20" t="s">
        <v>122</v>
      </c>
      <c r="N9" s="79"/>
      <c r="O9" s="20" t="s">
        <v>141</v>
      </c>
      <c r="P9" s="79"/>
      <c r="Q9" s="20" t="s">
        <v>142</v>
      </c>
      <c r="R9" s="79"/>
      <c r="S9" s="20" t="s">
        <v>143</v>
      </c>
      <c r="T9" s="79"/>
      <c r="U9" s="20" t="s">
        <v>116</v>
      </c>
      <c r="V9" s="79"/>
      <c r="W9" s="20"/>
      <c r="X9" s="20"/>
      <c r="Y9" s="115" t="s">
        <v>5</v>
      </c>
      <c r="Z9" s="79"/>
      <c r="AA9" s="20" t="s">
        <v>12</v>
      </c>
      <c r="AB9" s="79"/>
      <c r="AC9" s="20" t="s">
        <v>109</v>
      </c>
      <c r="AD9" s="79"/>
      <c r="AE9" s="20" t="s">
        <v>109</v>
      </c>
      <c r="AF9" s="79"/>
      <c r="AG9" s="20" t="s">
        <v>110</v>
      </c>
      <c r="AH9" s="79"/>
      <c r="AI9" s="20" t="s">
        <v>230</v>
      </c>
      <c r="AJ9" s="79"/>
      <c r="AK9" s="20" t="s">
        <v>111</v>
      </c>
      <c r="AL9" s="79"/>
      <c r="AM9" s="20" t="s">
        <v>112</v>
      </c>
      <c r="AN9" s="79"/>
      <c r="AO9" s="20" t="s">
        <v>161</v>
      </c>
      <c r="AP9" s="79"/>
      <c r="AQ9" s="20" t="s">
        <v>138</v>
      </c>
      <c r="AR9" s="79"/>
      <c r="AS9" s="20" t="s">
        <v>162</v>
      </c>
      <c r="AT9" s="79"/>
      <c r="AU9" s="20" t="s">
        <v>163</v>
      </c>
      <c r="AV9" s="79"/>
      <c r="AW9" s="20" t="s">
        <v>87</v>
      </c>
      <c r="AX9" s="79"/>
      <c r="AY9" s="115" t="s">
        <v>5</v>
      </c>
      <c r="AZ9" s="79"/>
      <c r="BA9" s="20" t="s">
        <v>113</v>
      </c>
      <c r="BB9" s="79"/>
      <c r="BC9" s="20" t="s">
        <v>113</v>
      </c>
      <c r="BD9" s="79"/>
      <c r="BE9" s="20" t="s">
        <v>114</v>
      </c>
      <c r="BF9" s="79"/>
      <c r="BG9" s="20" t="s">
        <v>115</v>
      </c>
      <c r="BH9" s="79"/>
      <c r="BI9" s="20" t="s">
        <v>193</v>
      </c>
      <c r="BJ9" s="20"/>
      <c r="BK9" s="20" t="s">
        <v>122</v>
      </c>
      <c r="BL9" s="79"/>
    </row>
    <row r="10" spans="1:64" ht="12.75">
      <c r="A10" s="113"/>
      <c r="B10" s="79"/>
      <c r="C10" s="21"/>
      <c r="D10" s="79"/>
      <c r="E10" s="21"/>
      <c r="F10" s="79"/>
      <c r="G10" s="21"/>
      <c r="H10" s="79"/>
      <c r="I10" s="21"/>
      <c r="J10" s="79"/>
      <c r="K10" s="21"/>
      <c r="L10" s="79"/>
      <c r="M10" s="21"/>
      <c r="N10" s="79"/>
      <c r="O10" s="21"/>
      <c r="P10" s="79"/>
      <c r="Q10" s="21"/>
      <c r="R10" s="79"/>
      <c r="S10" s="21"/>
      <c r="T10" s="79"/>
      <c r="U10" s="21"/>
      <c r="V10" s="79"/>
      <c r="W10" s="21"/>
      <c r="X10" s="21"/>
      <c r="Y10" s="113"/>
      <c r="Z10" s="79"/>
      <c r="AA10" s="21"/>
      <c r="AB10" s="79"/>
      <c r="AC10" s="21"/>
      <c r="AD10" s="79"/>
      <c r="AE10" s="21"/>
      <c r="AF10" s="79"/>
      <c r="AG10" s="21"/>
      <c r="AH10" s="79"/>
      <c r="AI10" s="21"/>
      <c r="AJ10" s="79"/>
      <c r="AK10" s="21"/>
      <c r="AL10" s="79"/>
      <c r="AM10" s="21"/>
      <c r="AN10" s="79"/>
      <c r="AO10" s="21"/>
      <c r="AP10" s="79"/>
      <c r="AQ10" s="21"/>
      <c r="AR10" s="79"/>
      <c r="AS10" s="21"/>
      <c r="AT10" s="79"/>
      <c r="AU10" s="21"/>
      <c r="AV10" s="79"/>
      <c r="AW10" s="21"/>
      <c r="AX10" s="79"/>
      <c r="AY10" s="113"/>
      <c r="AZ10" s="79"/>
      <c r="BA10" s="21"/>
      <c r="BB10" s="79"/>
      <c r="BC10" s="21"/>
      <c r="BD10" s="79"/>
      <c r="BE10" s="21"/>
      <c r="BF10" s="79"/>
      <c r="BG10" s="21"/>
      <c r="BH10" s="79"/>
      <c r="BI10" s="21"/>
      <c r="BJ10" s="21"/>
      <c r="BK10" s="21"/>
      <c r="BL10" s="79"/>
    </row>
    <row r="11" spans="1:73" ht="12.75" hidden="1">
      <c r="A11" s="90" t="s">
        <v>237</v>
      </c>
      <c r="B11" s="79"/>
      <c r="C11" s="74">
        <f>+G11-E11</f>
        <v>0</v>
      </c>
      <c r="D11" s="74"/>
      <c r="E11" s="74">
        <v>0</v>
      </c>
      <c r="F11" s="74"/>
      <c r="G11" s="74">
        <v>0</v>
      </c>
      <c r="H11" s="74"/>
      <c r="I11" s="74">
        <f>M11-K11</f>
        <v>0</v>
      </c>
      <c r="J11" s="74"/>
      <c r="K11" s="74">
        <f>SUM(BK11)</f>
        <v>0</v>
      </c>
      <c r="L11" s="74"/>
      <c r="M11" s="74">
        <v>0</v>
      </c>
      <c r="N11" s="74"/>
      <c r="O11" s="74">
        <v>0</v>
      </c>
      <c r="P11" s="74"/>
      <c r="Q11" s="74">
        <v>0</v>
      </c>
      <c r="R11" s="74"/>
      <c r="S11" s="74">
        <v>0</v>
      </c>
      <c r="T11" s="74"/>
      <c r="U11" s="74">
        <f>SUM(O11:S11)</f>
        <v>0</v>
      </c>
      <c r="V11" s="35"/>
      <c r="W11" s="35"/>
      <c r="X11" s="35"/>
      <c r="Y11" s="77" t="s">
        <v>237</v>
      </c>
      <c r="Z11" s="35"/>
      <c r="AA11" s="74">
        <v>0</v>
      </c>
      <c r="AB11" s="17"/>
      <c r="AC11" s="74">
        <v>0</v>
      </c>
      <c r="AD11" s="17"/>
      <c r="AE11" s="74">
        <v>0</v>
      </c>
      <c r="AF11" s="17"/>
      <c r="AG11" s="74">
        <f>+AA11-AC11-AE11</f>
        <v>0</v>
      </c>
      <c r="AH11" s="40"/>
      <c r="AI11" s="74">
        <v>0</v>
      </c>
      <c r="AJ11" s="40"/>
      <c r="AK11" s="74">
        <v>0</v>
      </c>
      <c r="AL11" s="17"/>
      <c r="AM11" s="74">
        <v>0</v>
      </c>
      <c r="AN11" s="17"/>
      <c r="AO11" s="74">
        <v>0</v>
      </c>
      <c r="AP11" s="17"/>
      <c r="AQ11" s="74">
        <f>+AO11+AK11-AM11+AI11+AG11</f>
        <v>0</v>
      </c>
      <c r="AR11" s="40"/>
      <c r="AS11" s="17"/>
      <c r="AT11" s="17"/>
      <c r="AU11" s="17"/>
      <c r="AV11" s="17"/>
      <c r="AW11" s="74">
        <f>+C11-I11</f>
        <v>0</v>
      </c>
      <c r="AX11" s="35"/>
      <c r="AY11" s="77" t="s">
        <v>237</v>
      </c>
      <c r="AZ11" s="35"/>
      <c r="BA11" s="74">
        <v>0</v>
      </c>
      <c r="BB11" s="17"/>
      <c r="BC11" s="74">
        <v>0</v>
      </c>
      <c r="BD11" s="17"/>
      <c r="BE11" s="74">
        <v>0</v>
      </c>
      <c r="BF11" s="17"/>
      <c r="BG11" s="74">
        <v>0</v>
      </c>
      <c r="BH11" s="17"/>
      <c r="BI11" s="17"/>
      <c r="BJ11" s="17"/>
      <c r="BK11" s="74">
        <f>SUM(BA11:BI11)</f>
        <v>0</v>
      </c>
      <c r="BL11" s="74"/>
      <c r="BM11" s="74"/>
      <c r="BN11" s="74"/>
      <c r="BO11" s="74"/>
      <c r="BP11" s="74"/>
      <c r="BQ11" s="74"/>
      <c r="BR11" s="74"/>
      <c r="BS11" s="74"/>
      <c r="BT11" s="74"/>
      <c r="BU11" s="74"/>
    </row>
    <row r="12" spans="1:64" ht="12.75">
      <c r="A12" s="77" t="s">
        <v>13</v>
      </c>
      <c r="B12" s="77"/>
      <c r="C12" s="74">
        <f>+G12-E12</f>
        <v>5722409</v>
      </c>
      <c r="D12" s="74"/>
      <c r="E12" s="74">
        <v>38059568</v>
      </c>
      <c r="F12" s="74"/>
      <c r="G12" s="74">
        <v>43781977</v>
      </c>
      <c r="H12" s="74"/>
      <c r="I12" s="74">
        <f>M12-K12</f>
        <v>3806687</v>
      </c>
      <c r="J12" s="74"/>
      <c r="K12" s="74">
        <f>SUM(BK12)</f>
        <v>12595872</v>
      </c>
      <c r="L12" s="74"/>
      <c r="M12" s="74">
        <v>16402559</v>
      </c>
      <c r="N12" s="74"/>
      <c r="O12" s="74">
        <v>22006753</v>
      </c>
      <c r="P12" s="74"/>
      <c r="Q12" s="74">
        <v>1565827</v>
      </c>
      <c r="R12" s="74"/>
      <c r="S12" s="74">
        <v>3806838</v>
      </c>
      <c r="T12" s="74"/>
      <c r="U12" s="74">
        <f>SUM(O12:S12)</f>
        <v>27379418</v>
      </c>
      <c r="V12" s="35"/>
      <c r="W12" s="35">
        <f>+G12-M12-U12</f>
        <v>0</v>
      </c>
      <c r="X12" s="35"/>
      <c r="Y12" s="77" t="s">
        <v>13</v>
      </c>
      <c r="Z12" s="35"/>
      <c r="AA12" s="74">
        <v>5476764</v>
      </c>
      <c r="AB12" s="17"/>
      <c r="AC12" s="74">
        <f>2032302+1159519+850081</f>
        <v>4041902</v>
      </c>
      <c r="AD12" s="17"/>
      <c r="AE12" s="74">
        <v>1589944</v>
      </c>
      <c r="AF12" s="17"/>
      <c r="AG12" s="74">
        <f>+AA12-AC12-AE12</f>
        <v>-155082</v>
      </c>
      <c r="AH12" s="40"/>
      <c r="AI12" s="74">
        <v>-374757</v>
      </c>
      <c r="AJ12" s="40"/>
      <c r="AK12" s="74">
        <v>0</v>
      </c>
      <c r="AL12" s="17"/>
      <c r="AM12" s="74">
        <v>0</v>
      </c>
      <c r="AN12" s="17"/>
      <c r="AO12" s="74">
        <v>193760</v>
      </c>
      <c r="AP12" s="17"/>
      <c r="AQ12" s="74">
        <f>+AO12+AK12-AM12+AI12+AG12</f>
        <v>-336079</v>
      </c>
      <c r="AR12" s="40"/>
      <c r="AS12" s="17">
        <v>0</v>
      </c>
      <c r="AT12" s="17"/>
      <c r="AU12" s="17">
        <v>0</v>
      </c>
      <c r="AV12" s="17"/>
      <c r="AW12" s="74">
        <f>+C12-I12</f>
        <v>1915722</v>
      </c>
      <c r="AX12" s="35"/>
      <c r="AY12" s="77" t="s">
        <v>13</v>
      </c>
      <c r="AZ12" s="35"/>
      <c r="BA12" s="74">
        <v>0</v>
      </c>
      <c r="BB12" s="17"/>
      <c r="BC12" s="74">
        <v>4914838</v>
      </c>
      <c r="BD12" s="17"/>
      <c r="BE12" s="74">
        <v>7630550</v>
      </c>
      <c r="BF12" s="17"/>
      <c r="BG12" s="74">
        <v>50484</v>
      </c>
      <c r="BH12" s="17"/>
      <c r="BI12" s="17"/>
      <c r="BJ12" s="17"/>
      <c r="BK12" s="74">
        <f>SUM(BA12:BI12)</f>
        <v>12595872</v>
      </c>
      <c r="BL12" s="79"/>
    </row>
    <row r="13" spans="1:64" ht="12.75" hidden="1">
      <c r="A13" s="77" t="s">
        <v>14</v>
      </c>
      <c r="B13" s="77"/>
      <c r="C13" s="35">
        <f aca="true" t="shared" si="0" ref="C13:C28">+G13-E13</f>
        <v>0</v>
      </c>
      <c r="D13" s="35"/>
      <c r="E13" s="35">
        <v>0</v>
      </c>
      <c r="F13" s="35"/>
      <c r="G13" s="35">
        <v>0</v>
      </c>
      <c r="H13" s="35"/>
      <c r="I13" s="35">
        <f aca="true" t="shared" si="1" ref="I13:I28">M13-K13</f>
        <v>0</v>
      </c>
      <c r="J13" s="35"/>
      <c r="K13" s="35">
        <f aca="true" t="shared" si="2" ref="K13:K28">SUM(BK13)</f>
        <v>0</v>
      </c>
      <c r="L13" s="35"/>
      <c r="M13" s="35">
        <v>0</v>
      </c>
      <c r="N13" s="35"/>
      <c r="O13" s="35">
        <v>0</v>
      </c>
      <c r="P13" s="35"/>
      <c r="Q13" s="35">
        <v>0</v>
      </c>
      <c r="R13" s="35"/>
      <c r="S13" s="35">
        <v>0</v>
      </c>
      <c r="T13" s="35"/>
      <c r="U13" s="35">
        <f aca="true" t="shared" si="3" ref="U13:U28">SUM(O13:S13)</f>
        <v>0</v>
      </c>
      <c r="V13" s="35"/>
      <c r="W13" s="35">
        <f>+G13-M13-U13</f>
        <v>0</v>
      </c>
      <c r="X13" s="35"/>
      <c r="Y13" s="77" t="s">
        <v>14</v>
      </c>
      <c r="Z13" s="35"/>
      <c r="AA13" s="35">
        <v>0</v>
      </c>
      <c r="AB13" s="17"/>
      <c r="AC13" s="35">
        <v>0</v>
      </c>
      <c r="AD13" s="17"/>
      <c r="AE13" s="35">
        <v>0</v>
      </c>
      <c r="AF13" s="17"/>
      <c r="AG13" s="35">
        <f aca="true" t="shared" si="4" ref="AG13:AG28">+AA13-AC13-AE13</f>
        <v>0</v>
      </c>
      <c r="AH13" s="40"/>
      <c r="AI13" s="35">
        <v>0</v>
      </c>
      <c r="AJ13" s="40"/>
      <c r="AK13" s="35">
        <v>0</v>
      </c>
      <c r="AL13" s="17"/>
      <c r="AM13" s="35">
        <v>0</v>
      </c>
      <c r="AN13" s="17"/>
      <c r="AO13" s="35">
        <v>0</v>
      </c>
      <c r="AP13" s="17"/>
      <c r="AQ13" s="35">
        <f aca="true" t="shared" si="5" ref="AQ13:AQ28">+AO13+AK13-AM13+AI13+AG13</f>
        <v>0</v>
      </c>
      <c r="AR13" s="40"/>
      <c r="AS13" s="17">
        <v>0</v>
      </c>
      <c r="AT13" s="17"/>
      <c r="AU13" s="17">
        <v>0</v>
      </c>
      <c r="AV13" s="17"/>
      <c r="AW13" s="35">
        <f aca="true" t="shared" si="6" ref="AW13:AW28">+C13-I13</f>
        <v>0</v>
      </c>
      <c r="AX13" s="35"/>
      <c r="AY13" s="77" t="s">
        <v>14</v>
      </c>
      <c r="AZ13" s="35"/>
      <c r="BA13" s="35">
        <v>0</v>
      </c>
      <c r="BB13" s="17"/>
      <c r="BC13" s="35">
        <v>0</v>
      </c>
      <c r="BD13" s="17"/>
      <c r="BE13" s="35">
        <v>0</v>
      </c>
      <c r="BF13" s="17"/>
      <c r="BG13" s="35">
        <v>0</v>
      </c>
      <c r="BH13" s="17"/>
      <c r="BI13" s="17"/>
      <c r="BJ13" s="17"/>
      <c r="BK13" s="35">
        <f>SUM(BA13:BI13)</f>
        <v>0</v>
      </c>
      <c r="BL13" s="79"/>
    </row>
    <row r="14" spans="1:64" ht="12.75">
      <c r="A14" s="77" t="s">
        <v>15</v>
      </c>
      <c r="B14" s="77"/>
      <c r="C14" s="35">
        <f>+G14-E14</f>
        <v>3262686</v>
      </c>
      <c r="D14" s="35"/>
      <c r="E14" s="35">
        <v>9485124</v>
      </c>
      <c r="F14" s="35"/>
      <c r="G14" s="35">
        <v>12747810</v>
      </c>
      <c r="H14" s="35"/>
      <c r="I14" s="35">
        <f t="shared" si="1"/>
        <v>407876</v>
      </c>
      <c r="J14" s="35"/>
      <c r="K14" s="35">
        <f t="shared" si="2"/>
        <v>3336579</v>
      </c>
      <c r="L14" s="35"/>
      <c r="M14" s="35">
        <v>3744455</v>
      </c>
      <c r="N14" s="35"/>
      <c r="O14" s="35">
        <v>5900087</v>
      </c>
      <c r="P14" s="35"/>
      <c r="Q14" s="35">
        <v>0</v>
      </c>
      <c r="R14" s="35"/>
      <c r="S14" s="35">
        <v>3103268</v>
      </c>
      <c r="T14" s="35"/>
      <c r="U14" s="35">
        <f t="shared" si="3"/>
        <v>9003355</v>
      </c>
      <c r="V14" s="74"/>
      <c r="W14" s="74">
        <f>+G14-M14-U14</f>
        <v>0</v>
      </c>
      <c r="X14" s="74"/>
      <c r="Y14" s="80" t="s">
        <v>15</v>
      </c>
      <c r="Z14" s="74"/>
      <c r="AA14" s="35">
        <f>1604297+702339</f>
        <v>2306636</v>
      </c>
      <c r="AB14" s="17"/>
      <c r="AC14" s="35">
        <f>644089+447488+119337</f>
        <v>1210914</v>
      </c>
      <c r="AD14" s="17"/>
      <c r="AE14" s="35">
        <v>935398</v>
      </c>
      <c r="AF14" s="17"/>
      <c r="AG14" s="35">
        <f t="shared" si="4"/>
        <v>160324</v>
      </c>
      <c r="AH14" s="40"/>
      <c r="AI14" s="35">
        <v>-23242</v>
      </c>
      <c r="AJ14" s="40"/>
      <c r="AK14" s="35">
        <v>3975</v>
      </c>
      <c r="AL14" s="17"/>
      <c r="AM14" s="35">
        <v>0</v>
      </c>
      <c r="AN14" s="17"/>
      <c r="AO14" s="35">
        <v>0</v>
      </c>
      <c r="AP14" s="17"/>
      <c r="AQ14" s="35">
        <f t="shared" si="5"/>
        <v>141057</v>
      </c>
      <c r="AR14" s="40"/>
      <c r="AS14" s="17">
        <v>0</v>
      </c>
      <c r="AT14" s="17"/>
      <c r="AU14" s="17">
        <v>0</v>
      </c>
      <c r="AV14" s="17"/>
      <c r="AW14" s="35">
        <f t="shared" si="6"/>
        <v>2854810</v>
      </c>
      <c r="AX14" s="48"/>
      <c r="AY14" s="80" t="s">
        <v>15</v>
      </c>
      <c r="AZ14" s="48"/>
      <c r="BA14" s="35">
        <v>0</v>
      </c>
      <c r="BB14" s="17"/>
      <c r="BC14" s="35">
        <v>370200</v>
      </c>
      <c r="BD14" s="17"/>
      <c r="BE14" s="35">
        <f>2712959+205857</f>
        <v>2918816</v>
      </c>
      <c r="BF14" s="17"/>
      <c r="BG14" s="35">
        <v>47563</v>
      </c>
      <c r="BH14" s="17"/>
      <c r="BI14" s="17"/>
      <c r="BJ14" s="17"/>
      <c r="BK14" s="35">
        <f aca="true" t="shared" si="7" ref="BK14:BK28">SUM(BA14:BI14)</f>
        <v>3336579</v>
      </c>
      <c r="BL14" s="79"/>
    </row>
    <row r="15" spans="1:64" ht="12.75">
      <c r="A15" s="77" t="s">
        <v>16</v>
      </c>
      <c r="B15" s="77"/>
      <c r="C15" s="35">
        <f t="shared" si="0"/>
        <v>1374213</v>
      </c>
      <c r="D15" s="35"/>
      <c r="E15" s="35">
        <f>2019930+2802753</f>
        <v>4822683</v>
      </c>
      <c r="F15" s="35"/>
      <c r="G15" s="35">
        <f>3280785+2916111</f>
        <v>6196896</v>
      </c>
      <c r="H15" s="35"/>
      <c r="I15" s="35">
        <f t="shared" si="1"/>
        <v>73040</v>
      </c>
      <c r="J15" s="35"/>
      <c r="K15" s="35">
        <f t="shared" si="2"/>
        <v>1198612</v>
      </c>
      <c r="L15" s="35"/>
      <c r="M15" s="35">
        <f>533504+738148</f>
        <v>1271652</v>
      </c>
      <c r="N15" s="35"/>
      <c r="O15" s="35">
        <f>1519450+2094653</f>
        <v>3614103</v>
      </c>
      <c r="P15" s="35"/>
      <c r="Q15" s="35">
        <v>0</v>
      </c>
      <c r="R15" s="35"/>
      <c r="S15" s="35">
        <f>1227831+83310</f>
        <v>1311141</v>
      </c>
      <c r="T15" s="35"/>
      <c r="U15" s="35">
        <f t="shared" si="3"/>
        <v>4925244</v>
      </c>
      <c r="V15" s="35"/>
      <c r="W15" s="35">
        <f aca="true" t="shared" si="8" ref="W15:W28">+G15-M15-U15</f>
        <v>0</v>
      </c>
      <c r="X15" s="35"/>
      <c r="Y15" s="81" t="s">
        <v>16</v>
      </c>
      <c r="Z15" s="35"/>
      <c r="AA15" s="35">
        <f>364384+154188</f>
        <v>518572</v>
      </c>
      <c r="AB15" s="17"/>
      <c r="AC15" s="35">
        <f>72238+39437+103743+20751+22609+24167+11527+82255+2460</f>
        <v>379187</v>
      </c>
      <c r="AD15" s="17"/>
      <c r="AE15" s="35">
        <f>62115+62283</f>
        <v>124398</v>
      </c>
      <c r="AF15" s="17"/>
      <c r="AG15" s="35">
        <f t="shared" si="4"/>
        <v>14987</v>
      </c>
      <c r="AH15" s="40"/>
      <c r="AI15" s="35">
        <f>-68029-31989</f>
        <v>-100018</v>
      </c>
      <c r="AJ15" s="40"/>
      <c r="AK15" s="35">
        <v>0</v>
      </c>
      <c r="AL15" s="17"/>
      <c r="AM15" s="35">
        <v>0</v>
      </c>
      <c r="AN15" s="17"/>
      <c r="AO15" s="35">
        <v>0</v>
      </c>
      <c r="AP15" s="17"/>
      <c r="AQ15" s="35">
        <f t="shared" si="5"/>
        <v>-85031</v>
      </c>
      <c r="AR15" s="40"/>
      <c r="AS15" s="17">
        <v>0</v>
      </c>
      <c r="AT15" s="17"/>
      <c r="AU15" s="17">
        <v>0</v>
      </c>
      <c r="AV15" s="17"/>
      <c r="AW15" s="35">
        <f t="shared" si="6"/>
        <v>1301173</v>
      </c>
      <c r="AX15" s="17"/>
      <c r="AY15" s="81" t="s">
        <v>16</v>
      </c>
      <c r="AZ15" s="17"/>
      <c r="BA15" s="35">
        <f>116100-1400</f>
        <v>114700</v>
      </c>
      <c r="BB15" s="17"/>
      <c r="BC15" s="35">
        <f>592000-7200</f>
        <v>584800</v>
      </c>
      <c r="BD15" s="17"/>
      <c r="BE15" s="35">
        <v>499112</v>
      </c>
      <c r="BF15" s="17"/>
      <c r="BG15" s="35">
        <v>0</v>
      </c>
      <c r="BH15" s="17"/>
      <c r="BI15" s="17"/>
      <c r="BJ15" s="17"/>
      <c r="BK15" s="35">
        <f t="shared" si="7"/>
        <v>1198612</v>
      </c>
      <c r="BL15" s="79"/>
    </row>
    <row r="16" spans="1:64" ht="12.75">
      <c r="A16" s="77" t="s">
        <v>17</v>
      </c>
      <c r="B16" s="77"/>
      <c r="C16" s="35">
        <f t="shared" si="0"/>
        <v>547670</v>
      </c>
      <c r="D16" s="35"/>
      <c r="E16" s="35">
        <v>3629324</v>
      </c>
      <c r="F16" s="35"/>
      <c r="G16" s="35">
        <v>4176994</v>
      </c>
      <c r="H16" s="35"/>
      <c r="I16" s="35">
        <f t="shared" si="1"/>
        <v>26489</v>
      </c>
      <c r="J16" s="35"/>
      <c r="K16" s="35">
        <f t="shared" si="2"/>
        <v>22500</v>
      </c>
      <c r="L16" s="35"/>
      <c r="M16" s="35">
        <v>48989</v>
      </c>
      <c r="N16" s="35"/>
      <c r="O16" s="35">
        <v>3601823</v>
      </c>
      <c r="P16" s="35"/>
      <c r="Q16" s="35">
        <v>0</v>
      </c>
      <c r="R16" s="35"/>
      <c r="S16" s="35">
        <v>526182</v>
      </c>
      <c r="T16" s="35"/>
      <c r="U16" s="35">
        <f t="shared" si="3"/>
        <v>4128005</v>
      </c>
      <c r="V16" s="35"/>
      <c r="W16" s="35">
        <f t="shared" si="8"/>
        <v>0</v>
      </c>
      <c r="X16" s="35"/>
      <c r="Y16" s="81" t="s">
        <v>17</v>
      </c>
      <c r="Z16" s="35"/>
      <c r="AA16" s="35">
        <v>311290</v>
      </c>
      <c r="AB16" s="17"/>
      <c r="AC16" s="35">
        <f>283695+1971</f>
        <v>285666</v>
      </c>
      <c r="AD16" s="17"/>
      <c r="AE16" s="35">
        <v>116323</v>
      </c>
      <c r="AF16" s="17"/>
      <c r="AG16" s="35">
        <f t="shared" si="4"/>
        <v>-90699</v>
      </c>
      <c r="AH16" s="40"/>
      <c r="AI16" s="35">
        <v>67032</v>
      </c>
      <c r="AJ16" s="40"/>
      <c r="AK16" s="35">
        <v>0</v>
      </c>
      <c r="AL16" s="17"/>
      <c r="AM16" s="35">
        <v>0</v>
      </c>
      <c r="AN16" s="17"/>
      <c r="AO16" s="35">
        <v>0</v>
      </c>
      <c r="AP16" s="17"/>
      <c r="AQ16" s="35">
        <f t="shared" si="5"/>
        <v>-23667</v>
      </c>
      <c r="AR16" s="40"/>
      <c r="AS16" s="17">
        <v>0</v>
      </c>
      <c r="AT16" s="17"/>
      <c r="AU16" s="17">
        <v>0</v>
      </c>
      <c r="AV16" s="17"/>
      <c r="AW16" s="35">
        <f t="shared" si="6"/>
        <v>521181</v>
      </c>
      <c r="AX16" s="35"/>
      <c r="AY16" s="81" t="s">
        <v>17</v>
      </c>
      <c r="AZ16" s="35"/>
      <c r="BA16" s="35">
        <v>0</v>
      </c>
      <c r="BB16" s="17"/>
      <c r="BC16" s="35">
        <v>0</v>
      </c>
      <c r="BD16" s="17"/>
      <c r="BE16" s="35">
        <v>0</v>
      </c>
      <c r="BF16" s="17"/>
      <c r="BG16" s="35">
        <v>22500</v>
      </c>
      <c r="BH16" s="17"/>
      <c r="BI16" s="17"/>
      <c r="BJ16" s="17"/>
      <c r="BK16" s="35">
        <f t="shared" si="7"/>
        <v>22500</v>
      </c>
      <c r="BL16" s="79"/>
    </row>
    <row r="17" spans="1:64" ht="12.75">
      <c r="A17" s="77" t="s">
        <v>18</v>
      </c>
      <c r="B17" s="77"/>
      <c r="C17" s="35">
        <f t="shared" si="0"/>
        <v>745554</v>
      </c>
      <c r="D17" s="35"/>
      <c r="E17" s="35">
        <v>10074212</v>
      </c>
      <c r="F17" s="35"/>
      <c r="G17" s="35">
        <v>10819766</v>
      </c>
      <c r="H17" s="35"/>
      <c r="I17" s="35">
        <f t="shared" si="1"/>
        <v>366310</v>
      </c>
      <c r="J17" s="35"/>
      <c r="K17" s="35">
        <f t="shared" si="2"/>
        <v>7326508</v>
      </c>
      <c r="L17" s="35"/>
      <c r="M17" s="35">
        <v>7692818</v>
      </c>
      <c r="N17" s="35"/>
      <c r="O17" s="35">
        <v>2643972</v>
      </c>
      <c r="P17" s="35"/>
      <c r="Q17" s="35">
        <v>0</v>
      </c>
      <c r="R17" s="35"/>
      <c r="S17" s="35">
        <v>482976</v>
      </c>
      <c r="T17" s="35"/>
      <c r="U17" s="35">
        <f t="shared" si="3"/>
        <v>3126948</v>
      </c>
      <c r="V17" s="35"/>
      <c r="W17" s="35">
        <f t="shared" si="8"/>
        <v>0</v>
      </c>
      <c r="X17" s="35"/>
      <c r="Y17" s="81" t="s">
        <v>18</v>
      </c>
      <c r="Z17" s="35"/>
      <c r="AA17" s="35">
        <v>1151168</v>
      </c>
      <c r="AB17" s="17"/>
      <c r="AC17" s="35">
        <f>260877+641568+38310+3025</f>
        <v>943780</v>
      </c>
      <c r="AD17" s="17"/>
      <c r="AE17" s="35">
        <v>260546</v>
      </c>
      <c r="AF17" s="17"/>
      <c r="AG17" s="35">
        <f t="shared" si="4"/>
        <v>-53158</v>
      </c>
      <c r="AH17" s="40"/>
      <c r="AI17" s="35">
        <v>-300026</v>
      </c>
      <c r="AJ17" s="40"/>
      <c r="AK17" s="35">
        <v>313</v>
      </c>
      <c r="AL17" s="17"/>
      <c r="AM17" s="35">
        <v>0</v>
      </c>
      <c r="AN17" s="17"/>
      <c r="AO17" s="35">
        <v>1650</v>
      </c>
      <c r="AP17" s="17"/>
      <c r="AQ17" s="35">
        <f t="shared" si="5"/>
        <v>-351221</v>
      </c>
      <c r="AR17" s="40"/>
      <c r="AS17" s="17">
        <v>0</v>
      </c>
      <c r="AT17" s="17"/>
      <c r="AU17" s="17">
        <v>0</v>
      </c>
      <c r="AV17" s="17"/>
      <c r="AW17" s="35">
        <f t="shared" si="6"/>
        <v>379244</v>
      </c>
      <c r="AX17" s="17"/>
      <c r="AY17" s="81" t="s">
        <v>18</v>
      </c>
      <c r="AZ17" s="17"/>
      <c r="BA17" s="35">
        <v>5799205</v>
      </c>
      <c r="BB17" s="17"/>
      <c r="BC17" s="35">
        <v>0</v>
      </c>
      <c r="BD17" s="17"/>
      <c r="BE17" s="35">
        <v>0</v>
      </c>
      <c r="BF17" s="17"/>
      <c r="BG17" s="35">
        <f>10240+17063+1500000</f>
        <v>1527303</v>
      </c>
      <c r="BH17" s="17"/>
      <c r="BI17" s="17"/>
      <c r="BJ17" s="17"/>
      <c r="BK17" s="35">
        <f t="shared" si="7"/>
        <v>7326508</v>
      </c>
      <c r="BL17" s="79"/>
    </row>
    <row r="18" spans="1:64" ht="12.75" hidden="1">
      <c r="A18" s="77" t="s">
        <v>240</v>
      </c>
      <c r="B18" s="77"/>
      <c r="C18" s="35">
        <f t="shared" si="0"/>
        <v>0</v>
      </c>
      <c r="D18" s="35"/>
      <c r="E18" s="35"/>
      <c r="F18" s="35"/>
      <c r="G18" s="35"/>
      <c r="H18" s="35"/>
      <c r="I18" s="35">
        <f t="shared" si="1"/>
        <v>0</v>
      </c>
      <c r="J18" s="35"/>
      <c r="K18" s="35">
        <f t="shared" si="2"/>
        <v>0</v>
      </c>
      <c r="L18" s="35"/>
      <c r="M18" s="35"/>
      <c r="N18" s="35"/>
      <c r="O18" s="35"/>
      <c r="P18" s="35"/>
      <c r="Q18" s="35"/>
      <c r="R18" s="35"/>
      <c r="S18" s="35"/>
      <c r="T18" s="35"/>
      <c r="U18" s="35">
        <f t="shared" si="3"/>
        <v>0</v>
      </c>
      <c r="V18" s="35"/>
      <c r="W18" s="35">
        <f t="shared" si="8"/>
        <v>0</v>
      </c>
      <c r="X18" s="35"/>
      <c r="Y18" s="81" t="s">
        <v>96</v>
      </c>
      <c r="Z18" s="35"/>
      <c r="AA18" s="35"/>
      <c r="AB18" s="17"/>
      <c r="AC18" s="35"/>
      <c r="AD18" s="17"/>
      <c r="AE18" s="35"/>
      <c r="AF18" s="17"/>
      <c r="AG18" s="35">
        <f t="shared" si="4"/>
        <v>0</v>
      </c>
      <c r="AH18" s="40"/>
      <c r="AI18" s="35"/>
      <c r="AJ18" s="40"/>
      <c r="AK18" s="35"/>
      <c r="AL18" s="17"/>
      <c r="AM18" s="35"/>
      <c r="AN18" s="17"/>
      <c r="AO18" s="35"/>
      <c r="AP18" s="17"/>
      <c r="AQ18" s="35">
        <f t="shared" si="5"/>
        <v>0</v>
      </c>
      <c r="AR18" s="40"/>
      <c r="AS18" s="17">
        <v>0</v>
      </c>
      <c r="AT18" s="17"/>
      <c r="AU18" s="17">
        <v>0</v>
      </c>
      <c r="AV18" s="17"/>
      <c r="AW18" s="35">
        <f t="shared" si="6"/>
        <v>0</v>
      </c>
      <c r="AX18" s="35"/>
      <c r="AY18" s="81" t="s">
        <v>96</v>
      </c>
      <c r="AZ18" s="35"/>
      <c r="BA18" s="35"/>
      <c r="BB18" s="17"/>
      <c r="BC18" s="35"/>
      <c r="BD18" s="17"/>
      <c r="BE18" s="35"/>
      <c r="BF18" s="17"/>
      <c r="BG18" s="35"/>
      <c r="BH18" s="17"/>
      <c r="BI18" s="17"/>
      <c r="BJ18" s="17"/>
      <c r="BK18" s="35">
        <f t="shared" si="7"/>
        <v>0</v>
      </c>
      <c r="BL18" s="79"/>
    </row>
    <row r="19" spans="1:64" ht="12.75">
      <c r="A19" s="77" t="s">
        <v>238</v>
      </c>
      <c r="B19" s="77"/>
      <c r="C19" s="35">
        <f t="shared" si="0"/>
        <v>25424596</v>
      </c>
      <c r="D19" s="35"/>
      <c r="E19" s="35">
        <v>210506836</v>
      </c>
      <c r="F19" s="35"/>
      <c r="G19" s="35">
        <v>235931432</v>
      </c>
      <c r="H19" s="35"/>
      <c r="I19" s="35">
        <f t="shared" si="1"/>
        <v>1332132</v>
      </c>
      <c r="J19" s="35"/>
      <c r="K19" s="35">
        <f t="shared" si="2"/>
        <v>59548520</v>
      </c>
      <c r="L19" s="35"/>
      <c r="M19" s="35">
        <v>60880652</v>
      </c>
      <c r="N19" s="35"/>
      <c r="O19" s="35">
        <v>144676973</v>
      </c>
      <c r="P19" s="35"/>
      <c r="Q19" s="35">
        <f>4397887+4000000</f>
        <v>8397887</v>
      </c>
      <c r="R19" s="35"/>
      <c r="S19" s="35">
        <v>21975920</v>
      </c>
      <c r="T19" s="35"/>
      <c r="U19" s="35">
        <f>SUM(O19:S19)</f>
        <v>175050780</v>
      </c>
      <c r="V19" s="35"/>
      <c r="W19" s="35">
        <f t="shared" si="8"/>
        <v>0</v>
      </c>
      <c r="X19" s="35"/>
      <c r="Y19" s="81" t="s">
        <v>238</v>
      </c>
      <c r="Z19" s="35"/>
      <c r="AA19" s="35">
        <f>21011439+29068</f>
        <v>21040507</v>
      </c>
      <c r="AB19" s="17"/>
      <c r="AC19" s="35">
        <f>6632116+5891671+1567046+318614</f>
        <v>14409447</v>
      </c>
      <c r="AD19" s="17"/>
      <c r="AE19" s="35">
        <v>9460544</v>
      </c>
      <c r="AF19" s="17"/>
      <c r="AG19" s="35">
        <f t="shared" si="4"/>
        <v>-2829484</v>
      </c>
      <c r="AH19" s="40"/>
      <c r="AI19" s="35">
        <v>748782</v>
      </c>
      <c r="AJ19" s="40"/>
      <c r="AK19" s="35">
        <v>0</v>
      </c>
      <c r="AL19" s="17"/>
      <c r="AM19" s="35">
        <v>0</v>
      </c>
      <c r="AN19" s="17"/>
      <c r="AO19" s="35">
        <v>3954130</v>
      </c>
      <c r="AP19" s="17"/>
      <c r="AQ19" s="35">
        <f t="shared" si="5"/>
        <v>1873428</v>
      </c>
      <c r="AR19" s="40"/>
      <c r="AS19" s="17">
        <v>0</v>
      </c>
      <c r="AT19" s="17"/>
      <c r="AU19" s="17">
        <v>0</v>
      </c>
      <c r="AV19" s="17"/>
      <c r="AW19" s="35">
        <f t="shared" si="6"/>
        <v>24092464</v>
      </c>
      <c r="AX19" s="35"/>
      <c r="AY19" s="81" t="s">
        <v>238</v>
      </c>
      <c r="AZ19" s="35"/>
      <c r="BA19" s="35">
        <v>4040521</v>
      </c>
      <c r="BB19" s="17"/>
      <c r="BC19" s="35">
        <f>51087401+4132360</f>
        <v>55219761</v>
      </c>
      <c r="BD19" s="17"/>
      <c r="BE19" s="35">
        <v>0</v>
      </c>
      <c r="BF19" s="17"/>
      <c r="BG19" s="35">
        <v>288238</v>
      </c>
      <c r="BH19" s="17"/>
      <c r="BI19" s="17"/>
      <c r="BJ19" s="17"/>
      <c r="BK19" s="35">
        <f t="shared" si="7"/>
        <v>59548520</v>
      </c>
      <c r="BL19" s="79"/>
    </row>
    <row r="20" spans="1:64" ht="12.75">
      <c r="A20" s="77" t="s">
        <v>20</v>
      </c>
      <c r="B20" s="77"/>
      <c r="C20" s="35">
        <f t="shared" si="0"/>
        <v>643173</v>
      </c>
      <c r="D20" s="35"/>
      <c r="E20" s="35">
        <v>7080953</v>
      </c>
      <c r="F20" s="35"/>
      <c r="G20" s="35">
        <v>7724126</v>
      </c>
      <c r="H20" s="35"/>
      <c r="I20" s="35">
        <f t="shared" si="1"/>
        <v>291066</v>
      </c>
      <c r="J20" s="35"/>
      <c r="K20" s="35">
        <f t="shared" si="2"/>
        <v>3174719</v>
      </c>
      <c r="L20" s="35"/>
      <c r="M20" s="35">
        <v>3465785</v>
      </c>
      <c r="N20" s="35"/>
      <c r="O20" s="35">
        <v>3828133</v>
      </c>
      <c r="P20" s="35"/>
      <c r="Q20" s="35">
        <v>28970</v>
      </c>
      <c r="R20" s="35"/>
      <c r="S20" s="35">
        <v>401238</v>
      </c>
      <c r="T20" s="35"/>
      <c r="U20" s="35">
        <f t="shared" si="3"/>
        <v>4258341</v>
      </c>
      <c r="V20" s="35"/>
      <c r="W20" s="35">
        <f t="shared" si="8"/>
        <v>0</v>
      </c>
      <c r="X20" s="35"/>
      <c r="Y20" s="81" t="s">
        <v>20</v>
      </c>
      <c r="Z20" s="35"/>
      <c r="AA20" s="35">
        <v>760709</v>
      </c>
      <c r="AB20" s="17"/>
      <c r="AC20" s="35">
        <f>268642+91836+74452+41511</f>
        <v>476441</v>
      </c>
      <c r="AD20" s="17"/>
      <c r="AE20" s="35">
        <v>274219</v>
      </c>
      <c r="AF20" s="17"/>
      <c r="AG20" s="35">
        <f t="shared" si="4"/>
        <v>10049</v>
      </c>
      <c r="AH20" s="40"/>
      <c r="AI20" s="35">
        <v>-120575</v>
      </c>
      <c r="AJ20" s="40"/>
      <c r="AK20" s="35">
        <v>0</v>
      </c>
      <c r="AL20" s="17"/>
      <c r="AM20" s="35">
        <v>0</v>
      </c>
      <c r="AN20" s="17"/>
      <c r="AO20" s="35">
        <v>0</v>
      </c>
      <c r="AP20" s="17"/>
      <c r="AQ20" s="35">
        <f t="shared" si="5"/>
        <v>-110526</v>
      </c>
      <c r="AR20" s="40"/>
      <c r="AS20" s="17">
        <v>0</v>
      </c>
      <c r="AT20" s="17"/>
      <c r="AU20" s="17">
        <v>0</v>
      </c>
      <c r="AV20" s="17"/>
      <c r="AW20" s="35">
        <f t="shared" si="6"/>
        <v>352107</v>
      </c>
      <c r="AX20" s="17"/>
      <c r="AY20" s="81" t="s">
        <v>20</v>
      </c>
      <c r="AZ20" s="17"/>
      <c r="BA20" s="35">
        <v>0</v>
      </c>
      <c r="BB20" s="17"/>
      <c r="BC20" s="35">
        <v>2980500</v>
      </c>
      <c r="BD20" s="17"/>
      <c r="BE20" s="35">
        <v>189200</v>
      </c>
      <c r="BF20" s="17"/>
      <c r="BG20" s="35">
        <v>5019</v>
      </c>
      <c r="BH20" s="17"/>
      <c r="BI20" s="17"/>
      <c r="BJ20" s="17"/>
      <c r="BK20" s="35">
        <f t="shared" si="7"/>
        <v>3174719</v>
      </c>
      <c r="BL20" s="79"/>
    </row>
    <row r="21" spans="1:64" ht="12.75" hidden="1">
      <c r="A21" s="23" t="s">
        <v>173</v>
      </c>
      <c r="B21" s="23"/>
      <c r="C21" s="35">
        <f t="shared" si="0"/>
        <v>0</v>
      </c>
      <c r="D21" s="35"/>
      <c r="E21" s="35">
        <v>0</v>
      </c>
      <c r="F21" s="35"/>
      <c r="G21" s="35">
        <v>0</v>
      </c>
      <c r="H21" s="35"/>
      <c r="I21" s="35">
        <f t="shared" si="1"/>
        <v>0</v>
      </c>
      <c r="J21" s="35"/>
      <c r="K21" s="35">
        <f t="shared" si="2"/>
        <v>0</v>
      </c>
      <c r="L21" s="35"/>
      <c r="M21" s="35"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5">
        <f t="shared" si="3"/>
        <v>0</v>
      </c>
      <c r="V21" s="35"/>
      <c r="W21" s="35">
        <f t="shared" si="8"/>
        <v>0</v>
      </c>
      <c r="X21" s="35"/>
      <c r="Y21" s="17" t="s">
        <v>173</v>
      </c>
      <c r="Z21" s="35"/>
      <c r="AA21" s="35">
        <v>0</v>
      </c>
      <c r="AB21" s="17"/>
      <c r="AC21" s="35">
        <v>0</v>
      </c>
      <c r="AD21" s="17"/>
      <c r="AE21" s="35">
        <v>0</v>
      </c>
      <c r="AF21" s="17"/>
      <c r="AG21" s="35">
        <f t="shared" si="4"/>
        <v>0</v>
      </c>
      <c r="AH21" s="40"/>
      <c r="AI21" s="35">
        <v>0</v>
      </c>
      <c r="AJ21" s="40"/>
      <c r="AK21" s="35">
        <v>0</v>
      </c>
      <c r="AL21" s="17"/>
      <c r="AM21" s="35">
        <v>0</v>
      </c>
      <c r="AN21" s="17"/>
      <c r="AO21" s="35">
        <v>0</v>
      </c>
      <c r="AP21" s="17"/>
      <c r="AQ21" s="35">
        <f t="shared" si="5"/>
        <v>0</v>
      </c>
      <c r="AR21" s="40"/>
      <c r="AS21" s="17">
        <v>0</v>
      </c>
      <c r="AT21" s="17"/>
      <c r="AU21" s="17">
        <v>0</v>
      </c>
      <c r="AV21" s="17"/>
      <c r="AW21" s="35">
        <f t="shared" si="6"/>
        <v>0</v>
      </c>
      <c r="AX21" s="35"/>
      <c r="AY21" s="17" t="s">
        <v>173</v>
      </c>
      <c r="AZ21" s="35"/>
      <c r="BA21" s="35">
        <v>0</v>
      </c>
      <c r="BB21" s="17"/>
      <c r="BC21" s="35">
        <v>0</v>
      </c>
      <c r="BD21" s="17"/>
      <c r="BE21" s="35">
        <v>0</v>
      </c>
      <c r="BF21" s="17"/>
      <c r="BG21" s="35">
        <v>0</v>
      </c>
      <c r="BH21" s="17"/>
      <c r="BI21" s="17"/>
      <c r="BJ21" s="17"/>
      <c r="BK21" s="35">
        <f t="shared" si="7"/>
        <v>0</v>
      </c>
      <c r="BL21" s="79"/>
    </row>
    <row r="22" spans="1:64" ht="12.75">
      <c r="A22" s="77" t="s">
        <v>21</v>
      </c>
      <c r="B22" s="77"/>
      <c r="C22" s="35">
        <f t="shared" si="0"/>
        <v>3816992</v>
      </c>
      <c r="D22" s="35"/>
      <c r="E22" s="35">
        <v>11639223</v>
      </c>
      <c r="F22" s="35"/>
      <c r="G22" s="35">
        <v>15456215</v>
      </c>
      <c r="H22" s="35"/>
      <c r="I22" s="35">
        <f t="shared" si="1"/>
        <v>1204878</v>
      </c>
      <c r="J22" s="35"/>
      <c r="K22" s="35">
        <f t="shared" si="2"/>
        <v>3715061</v>
      </c>
      <c r="L22" s="35"/>
      <c r="M22" s="35">
        <v>4919939</v>
      </c>
      <c r="N22" s="35"/>
      <c r="O22" s="35">
        <v>4098376</v>
      </c>
      <c r="P22" s="35"/>
      <c r="Q22" s="35">
        <v>0</v>
      </c>
      <c r="R22" s="35"/>
      <c r="S22" s="35">
        <v>6437900</v>
      </c>
      <c r="T22" s="35"/>
      <c r="U22" s="35">
        <f t="shared" si="3"/>
        <v>10536276</v>
      </c>
      <c r="V22" s="35"/>
      <c r="W22" s="35">
        <f t="shared" si="8"/>
        <v>0</v>
      </c>
      <c r="X22" s="35"/>
      <c r="Y22" s="81" t="s">
        <v>21</v>
      </c>
      <c r="Z22" s="35"/>
      <c r="AA22" s="35">
        <v>3774791</v>
      </c>
      <c r="AB22" s="17"/>
      <c r="AC22" s="35">
        <f>836299+1638437+105735+195830</f>
        <v>2776301</v>
      </c>
      <c r="AD22" s="17"/>
      <c r="AE22" s="35">
        <v>486937</v>
      </c>
      <c r="AF22" s="17"/>
      <c r="AG22" s="35">
        <f t="shared" si="4"/>
        <v>511553</v>
      </c>
      <c r="AH22" s="40"/>
      <c r="AI22" s="35">
        <v>-193232</v>
      </c>
      <c r="AJ22" s="40"/>
      <c r="AK22" s="35">
        <v>537218</v>
      </c>
      <c r="AL22" s="17"/>
      <c r="AM22" s="35">
        <v>537218</v>
      </c>
      <c r="AN22" s="17"/>
      <c r="AO22" s="35">
        <v>188048</v>
      </c>
      <c r="AP22" s="17"/>
      <c r="AQ22" s="35">
        <f t="shared" si="5"/>
        <v>506369</v>
      </c>
      <c r="AR22" s="40"/>
      <c r="AS22" s="17">
        <v>0</v>
      </c>
      <c r="AT22" s="17"/>
      <c r="AU22" s="17">
        <v>0</v>
      </c>
      <c r="AV22" s="17"/>
      <c r="AW22" s="35">
        <f t="shared" si="6"/>
        <v>2612114</v>
      </c>
      <c r="AX22" s="17"/>
      <c r="AY22" s="81" t="s">
        <v>21</v>
      </c>
      <c r="AZ22" s="17"/>
      <c r="BA22" s="35">
        <f>2903800+23686-42419</f>
        <v>2885067</v>
      </c>
      <c r="BB22" s="17"/>
      <c r="BC22" s="35">
        <v>0</v>
      </c>
      <c r="BD22" s="17"/>
      <c r="BE22" s="35">
        <v>750676</v>
      </c>
      <c r="BF22" s="17"/>
      <c r="BG22" s="35">
        <v>79318</v>
      </c>
      <c r="BH22" s="17"/>
      <c r="BI22" s="17"/>
      <c r="BJ22" s="17"/>
      <c r="BK22" s="35">
        <f t="shared" si="7"/>
        <v>3715061</v>
      </c>
      <c r="BL22" s="79"/>
    </row>
    <row r="23" spans="1:64" ht="12.75">
      <c r="A23" s="77" t="s">
        <v>181</v>
      </c>
      <c r="B23" s="77"/>
      <c r="C23" s="35">
        <f t="shared" si="0"/>
        <v>41381827</v>
      </c>
      <c r="D23" s="35"/>
      <c r="E23" s="35">
        <v>174786756</v>
      </c>
      <c r="F23" s="35"/>
      <c r="G23" s="35">
        <v>216168583</v>
      </c>
      <c r="H23" s="35"/>
      <c r="I23" s="35">
        <f t="shared" si="1"/>
        <v>2325742</v>
      </c>
      <c r="J23" s="35"/>
      <c r="K23" s="35">
        <f t="shared" si="2"/>
        <v>43877428</v>
      </c>
      <c r="L23" s="35"/>
      <c r="M23" s="35">
        <v>46203170</v>
      </c>
      <c r="N23" s="35"/>
      <c r="O23" s="35">
        <v>122520346</v>
      </c>
      <c r="P23" s="35"/>
      <c r="Q23" s="35">
        <v>4192502</v>
      </c>
      <c r="R23" s="35"/>
      <c r="S23" s="35">
        <v>43252565</v>
      </c>
      <c r="T23" s="35"/>
      <c r="U23" s="35">
        <f t="shared" si="3"/>
        <v>169965413</v>
      </c>
      <c r="V23" s="35"/>
      <c r="W23" s="35">
        <f t="shared" si="8"/>
        <v>0</v>
      </c>
      <c r="X23" s="35"/>
      <c r="Y23" s="81" t="s">
        <v>181</v>
      </c>
      <c r="Z23" s="35"/>
      <c r="AA23" s="35">
        <v>14239664</v>
      </c>
      <c r="AB23" s="17"/>
      <c r="AC23" s="35">
        <f>3001732+1275216+1732712+389920+1925531</f>
        <v>8325111</v>
      </c>
      <c r="AD23" s="17"/>
      <c r="AE23" s="35">
        <v>7476921</v>
      </c>
      <c r="AF23" s="17"/>
      <c r="AG23" s="35">
        <f t="shared" si="4"/>
        <v>-1562368</v>
      </c>
      <c r="AH23" s="40"/>
      <c r="AI23" s="35">
        <v>10183</v>
      </c>
      <c r="AJ23" s="40"/>
      <c r="AK23" s="35">
        <v>0</v>
      </c>
      <c r="AL23" s="17"/>
      <c r="AM23" s="35">
        <v>0</v>
      </c>
      <c r="AN23" s="17"/>
      <c r="AO23" s="35">
        <v>8678595</v>
      </c>
      <c r="AP23" s="17"/>
      <c r="AQ23" s="35">
        <f t="shared" si="5"/>
        <v>7126410</v>
      </c>
      <c r="AR23" s="40"/>
      <c r="AS23" s="17">
        <v>0</v>
      </c>
      <c r="AT23" s="17"/>
      <c r="AU23" s="17">
        <v>0</v>
      </c>
      <c r="AV23" s="17"/>
      <c r="AW23" s="35">
        <f t="shared" si="6"/>
        <v>39056085</v>
      </c>
      <c r="AX23" s="17"/>
      <c r="AY23" s="81" t="s">
        <v>181</v>
      </c>
      <c r="AZ23" s="17"/>
      <c r="BA23" s="35">
        <v>0</v>
      </c>
      <c r="BB23" s="17"/>
      <c r="BC23" s="35">
        <v>30810000</v>
      </c>
      <c r="BD23" s="17"/>
      <c r="BE23" s="35">
        <v>8895902</v>
      </c>
      <c r="BF23" s="17"/>
      <c r="BG23" s="35">
        <f>808904+1750000+1043593+569029</f>
        <v>4171526</v>
      </c>
      <c r="BH23" s="17"/>
      <c r="BI23" s="17"/>
      <c r="BJ23" s="17"/>
      <c r="BK23" s="35">
        <f t="shared" si="7"/>
        <v>43877428</v>
      </c>
      <c r="BL23" s="79"/>
    </row>
    <row r="24" spans="1:64" ht="12.75" hidden="1">
      <c r="A24" s="77" t="s">
        <v>22</v>
      </c>
      <c r="B24" s="77"/>
      <c r="C24" s="35">
        <f t="shared" si="0"/>
        <v>0</v>
      </c>
      <c r="D24" s="35"/>
      <c r="E24" s="35">
        <v>0</v>
      </c>
      <c r="F24" s="35"/>
      <c r="G24" s="35">
        <v>0</v>
      </c>
      <c r="H24" s="35"/>
      <c r="I24" s="35">
        <f t="shared" si="1"/>
        <v>0</v>
      </c>
      <c r="J24" s="35"/>
      <c r="K24" s="35">
        <f t="shared" si="2"/>
        <v>0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f t="shared" si="3"/>
        <v>0</v>
      </c>
      <c r="V24" s="35"/>
      <c r="W24" s="35">
        <f t="shared" si="8"/>
        <v>0</v>
      </c>
      <c r="X24" s="35"/>
      <c r="Y24" s="81" t="s">
        <v>22</v>
      </c>
      <c r="Z24" s="35"/>
      <c r="AA24" s="35">
        <v>0</v>
      </c>
      <c r="AB24" s="17"/>
      <c r="AC24" s="35">
        <v>0</v>
      </c>
      <c r="AD24" s="17"/>
      <c r="AE24" s="35">
        <v>0</v>
      </c>
      <c r="AF24" s="17"/>
      <c r="AG24" s="35">
        <f t="shared" si="4"/>
        <v>0</v>
      </c>
      <c r="AH24" s="40"/>
      <c r="AI24" s="35">
        <v>0</v>
      </c>
      <c r="AJ24" s="40"/>
      <c r="AK24" s="35">
        <v>0</v>
      </c>
      <c r="AL24" s="17"/>
      <c r="AM24" s="35">
        <v>0</v>
      </c>
      <c r="AN24" s="17"/>
      <c r="AO24" s="35">
        <v>0</v>
      </c>
      <c r="AP24" s="17"/>
      <c r="AQ24" s="35">
        <f t="shared" si="5"/>
        <v>0</v>
      </c>
      <c r="AR24" s="40"/>
      <c r="AS24" s="17">
        <v>0</v>
      </c>
      <c r="AT24" s="17"/>
      <c r="AU24" s="17">
        <v>0</v>
      </c>
      <c r="AV24" s="17"/>
      <c r="AW24" s="35">
        <f t="shared" si="6"/>
        <v>0</v>
      </c>
      <c r="AX24" s="35"/>
      <c r="AY24" s="81" t="s">
        <v>22</v>
      </c>
      <c r="AZ24" s="35"/>
      <c r="BA24" s="35">
        <v>0</v>
      </c>
      <c r="BB24" s="17"/>
      <c r="BC24" s="35">
        <v>0</v>
      </c>
      <c r="BD24" s="17"/>
      <c r="BE24" s="35">
        <v>0</v>
      </c>
      <c r="BF24" s="17"/>
      <c r="BG24" s="35">
        <v>0</v>
      </c>
      <c r="BH24" s="17"/>
      <c r="BI24" s="17"/>
      <c r="BJ24" s="17"/>
      <c r="BK24" s="35">
        <f t="shared" si="7"/>
        <v>0</v>
      </c>
      <c r="BL24" s="79"/>
    </row>
    <row r="25" spans="1:64" ht="12.75" hidden="1">
      <c r="A25" s="77" t="s">
        <v>23</v>
      </c>
      <c r="B25" s="77"/>
      <c r="C25" s="35">
        <f t="shared" si="0"/>
        <v>0</v>
      </c>
      <c r="D25" s="35"/>
      <c r="E25" s="35"/>
      <c r="F25" s="35"/>
      <c r="G25" s="35"/>
      <c r="H25" s="35"/>
      <c r="I25" s="35">
        <f t="shared" si="1"/>
        <v>0</v>
      </c>
      <c r="J25" s="35"/>
      <c r="K25" s="35">
        <f t="shared" si="2"/>
        <v>0</v>
      </c>
      <c r="L25" s="35"/>
      <c r="M25" s="35"/>
      <c r="N25" s="35"/>
      <c r="O25" s="35"/>
      <c r="P25" s="35"/>
      <c r="Q25" s="35"/>
      <c r="R25" s="35"/>
      <c r="S25" s="35"/>
      <c r="T25" s="35"/>
      <c r="U25" s="35">
        <f t="shared" si="3"/>
        <v>0</v>
      </c>
      <c r="V25" s="35"/>
      <c r="W25" s="35">
        <f t="shared" si="8"/>
        <v>0</v>
      </c>
      <c r="X25" s="35"/>
      <c r="Y25" s="81" t="s">
        <v>23</v>
      </c>
      <c r="Z25" s="35"/>
      <c r="AA25" s="35"/>
      <c r="AB25" s="17"/>
      <c r="AC25" s="35"/>
      <c r="AD25" s="17"/>
      <c r="AE25" s="35"/>
      <c r="AF25" s="17"/>
      <c r="AG25" s="35">
        <f t="shared" si="4"/>
        <v>0</v>
      </c>
      <c r="AH25" s="40"/>
      <c r="AI25" s="35"/>
      <c r="AJ25" s="40"/>
      <c r="AK25" s="35"/>
      <c r="AL25" s="17"/>
      <c r="AM25" s="35"/>
      <c r="AN25" s="17"/>
      <c r="AO25" s="35"/>
      <c r="AP25" s="17"/>
      <c r="AQ25" s="35">
        <f t="shared" si="5"/>
        <v>0</v>
      </c>
      <c r="AR25" s="40"/>
      <c r="AS25" s="17">
        <v>0</v>
      </c>
      <c r="AT25" s="17"/>
      <c r="AU25" s="17">
        <v>0</v>
      </c>
      <c r="AV25" s="17"/>
      <c r="AW25" s="35">
        <f t="shared" si="6"/>
        <v>0</v>
      </c>
      <c r="AX25" s="17"/>
      <c r="AY25" s="81" t="s">
        <v>23</v>
      </c>
      <c r="AZ25" s="17"/>
      <c r="BA25" s="35"/>
      <c r="BB25" s="17"/>
      <c r="BC25" s="35"/>
      <c r="BD25" s="17"/>
      <c r="BE25" s="35"/>
      <c r="BF25" s="17"/>
      <c r="BG25" s="35"/>
      <c r="BH25" s="17"/>
      <c r="BI25" s="17"/>
      <c r="BJ25" s="17"/>
      <c r="BK25" s="35">
        <f t="shared" si="7"/>
        <v>0</v>
      </c>
      <c r="BL25" s="79"/>
    </row>
    <row r="26" spans="1:64" ht="12.75" hidden="1">
      <c r="A26" s="77" t="s">
        <v>24</v>
      </c>
      <c r="B26" s="77"/>
      <c r="C26" s="35">
        <f t="shared" si="0"/>
        <v>0</v>
      </c>
      <c r="D26" s="35"/>
      <c r="E26" s="35">
        <v>0</v>
      </c>
      <c r="F26" s="35"/>
      <c r="G26" s="35">
        <v>0</v>
      </c>
      <c r="H26" s="35"/>
      <c r="I26" s="35">
        <f t="shared" si="1"/>
        <v>0</v>
      </c>
      <c r="J26" s="35"/>
      <c r="K26" s="35">
        <f t="shared" si="2"/>
        <v>0</v>
      </c>
      <c r="L26" s="35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f t="shared" si="3"/>
        <v>0</v>
      </c>
      <c r="V26" s="35"/>
      <c r="W26" s="35">
        <f t="shared" si="8"/>
        <v>0</v>
      </c>
      <c r="X26" s="35"/>
      <c r="Y26" s="81" t="s">
        <v>24</v>
      </c>
      <c r="Z26" s="35"/>
      <c r="AA26" s="35">
        <v>0</v>
      </c>
      <c r="AB26" s="17"/>
      <c r="AC26" s="35">
        <v>0</v>
      </c>
      <c r="AD26" s="17"/>
      <c r="AE26" s="35">
        <v>0</v>
      </c>
      <c r="AF26" s="17"/>
      <c r="AG26" s="35">
        <f t="shared" si="4"/>
        <v>0</v>
      </c>
      <c r="AH26" s="40"/>
      <c r="AI26" s="35">
        <v>0</v>
      </c>
      <c r="AJ26" s="40"/>
      <c r="AK26" s="35">
        <v>0</v>
      </c>
      <c r="AL26" s="17"/>
      <c r="AM26" s="35">
        <v>0</v>
      </c>
      <c r="AN26" s="17"/>
      <c r="AO26" s="35">
        <v>0</v>
      </c>
      <c r="AP26" s="17"/>
      <c r="AQ26" s="35">
        <f t="shared" si="5"/>
        <v>0</v>
      </c>
      <c r="AR26" s="40"/>
      <c r="AS26" s="17">
        <v>0</v>
      </c>
      <c r="AT26" s="17"/>
      <c r="AU26" s="17">
        <v>0</v>
      </c>
      <c r="AV26" s="17"/>
      <c r="AW26" s="35">
        <f t="shared" si="6"/>
        <v>0</v>
      </c>
      <c r="AX26" s="17"/>
      <c r="AY26" s="81" t="s">
        <v>24</v>
      </c>
      <c r="AZ26" s="17"/>
      <c r="BA26" s="35">
        <v>0</v>
      </c>
      <c r="BB26" s="17"/>
      <c r="BC26" s="35">
        <v>0</v>
      </c>
      <c r="BD26" s="17"/>
      <c r="BE26" s="35">
        <v>0</v>
      </c>
      <c r="BF26" s="17"/>
      <c r="BG26" s="35">
        <v>0</v>
      </c>
      <c r="BH26" s="17"/>
      <c r="BI26" s="17"/>
      <c r="BJ26" s="17"/>
      <c r="BK26" s="35">
        <f t="shared" si="7"/>
        <v>0</v>
      </c>
      <c r="BL26" s="79"/>
    </row>
    <row r="27" spans="1:64" ht="12.75">
      <c r="A27" s="77" t="s">
        <v>243</v>
      </c>
      <c r="B27" s="77"/>
      <c r="C27" s="35">
        <f t="shared" si="0"/>
        <v>205818</v>
      </c>
      <c r="D27" s="35"/>
      <c r="E27" s="35">
        <v>1881658</v>
      </c>
      <c r="F27" s="35"/>
      <c r="G27" s="35">
        <v>2087476</v>
      </c>
      <c r="H27" s="35"/>
      <c r="I27" s="35">
        <f t="shared" si="1"/>
        <v>61245</v>
      </c>
      <c r="J27" s="35"/>
      <c r="K27" s="35">
        <f t="shared" si="2"/>
        <v>647996</v>
      </c>
      <c r="L27" s="35"/>
      <c r="M27" s="35">
        <v>709241</v>
      </c>
      <c r="N27" s="35"/>
      <c r="O27" s="35">
        <v>1273595</v>
      </c>
      <c r="P27" s="35"/>
      <c r="Q27" s="35">
        <v>0</v>
      </c>
      <c r="R27" s="35"/>
      <c r="S27" s="35">
        <v>104640</v>
      </c>
      <c r="T27" s="35"/>
      <c r="U27" s="35">
        <f t="shared" si="3"/>
        <v>1378235</v>
      </c>
      <c r="V27" s="35"/>
      <c r="W27" s="35">
        <f t="shared" si="8"/>
        <v>0</v>
      </c>
      <c r="X27" s="35"/>
      <c r="Y27" s="81" t="s">
        <v>179</v>
      </c>
      <c r="Z27" s="35"/>
      <c r="AA27" s="35">
        <v>182195</v>
      </c>
      <c r="AB27" s="17"/>
      <c r="AC27" s="35">
        <f>20639+3856+58082+9651</f>
        <v>92228</v>
      </c>
      <c r="AD27" s="17"/>
      <c r="AE27" s="35">
        <v>47267</v>
      </c>
      <c r="AF27" s="17"/>
      <c r="AG27" s="35">
        <f t="shared" si="4"/>
        <v>42700</v>
      </c>
      <c r="AH27" s="40"/>
      <c r="AI27" s="35">
        <v>-27466</v>
      </c>
      <c r="AJ27" s="40"/>
      <c r="AK27" s="35">
        <v>18000</v>
      </c>
      <c r="AL27" s="17"/>
      <c r="AM27" s="35">
        <v>0</v>
      </c>
      <c r="AN27" s="17"/>
      <c r="AO27" s="35">
        <v>550854</v>
      </c>
      <c r="AP27" s="17"/>
      <c r="AQ27" s="35">
        <f t="shared" si="5"/>
        <v>584088</v>
      </c>
      <c r="AR27" s="40"/>
      <c r="AS27" s="17">
        <v>0</v>
      </c>
      <c r="AT27" s="17"/>
      <c r="AU27" s="17">
        <v>0</v>
      </c>
      <c r="AV27" s="17"/>
      <c r="AW27" s="35">
        <f t="shared" si="6"/>
        <v>144573</v>
      </c>
      <c r="AX27" s="17"/>
      <c r="AY27" s="81" t="s">
        <v>179</v>
      </c>
      <c r="AZ27" s="17"/>
      <c r="BA27" s="35">
        <v>602470</v>
      </c>
      <c r="BB27" s="17"/>
      <c r="BC27" s="35">
        <v>0</v>
      </c>
      <c r="BD27" s="17"/>
      <c r="BE27" s="35">
        <v>44620</v>
      </c>
      <c r="BF27" s="17"/>
      <c r="BG27" s="35">
        <v>906</v>
      </c>
      <c r="BH27" s="17"/>
      <c r="BI27" s="17"/>
      <c r="BJ27" s="17"/>
      <c r="BK27" s="35">
        <f t="shared" si="7"/>
        <v>647996</v>
      </c>
      <c r="BL27" s="79"/>
    </row>
    <row r="28" spans="1:64" ht="12.75">
      <c r="A28" s="77" t="s">
        <v>25</v>
      </c>
      <c r="B28" s="77"/>
      <c r="C28" s="35">
        <f t="shared" si="0"/>
        <v>11904000</v>
      </c>
      <c r="D28" s="35"/>
      <c r="E28" s="35">
        <f>35074*1000</f>
        <v>35074000</v>
      </c>
      <c r="F28" s="35"/>
      <c r="G28" s="35">
        <f>46978*1000</f>
        <v>46978000</v>
      </c>
      <c r="H28" s="35"/>
      <c r="I28" s="35">
        <f t="shared" si="1"/>
        <v>3147000</v>
      </c>
      <c r="J28" s="35"/>
      <c r="K28" s="35">
        <f t="shared" si="2"/>
        <v>11900000</v>
      </c>
      <c r="L28" s="35"/>
      <c r="M28" s="35">
        <f>15047*1000</f>
        <v>15047000</v>
      </c>
      <c r="N28" s="35"/>
      <c r="O28" s="35">
        <f>20776*1000</f>
        <v>20776000</v>
      </c>
      <c r="P28" s="35"/>
      <c r="Q28" s="35">
        <v>0</v>
      </c>
      <c r="R28" s="35"/>
      <c r="S28" s="35">
        <f>11155*1000</f>
        <v>11155000</v>
      </c>
      <c r="T28" s="35"/>
      <c r="U28" s="35">
        <f t="shared" si="3"/>
        <v>31931000</v>
      </c>
      <c r="V28" s="35"/>
      <c r="W28" s="35">
        <f t="shared" si="8"/>
        <v>0</v>
      </c>
      <c r="X28" s="35"/>
      <c r="Y28" s="81" t="s">
        <v>25</v>
      </c>
      <c r="Z28" s="35"/>
      <c r="AA28" s="35">
        <f>14698*1000</f>
        <v>14698000</v>
      </c>
      <c r="AB28" s="17"/>
      <c r="AC28" s="35">
        <f>(8084+1337+779+902)*1000</f>
        <v>11102000</v>
      </c>
      <c r="AD28" s="17"/>
      <c r="AE28" s="35">
        <f>1640*1000</f>
        <v>1640000</v>
      </c>
      <c r="AF28" s="17"/>
      <c r="AG28" s="35">
        <f t="shared" si="4"/>
        <v>1956000</v>
      </c>
      <c r="AH28" s="40"/>
      <c r="AI28" s="35">
        <f>-360*1000</f>
        <v>-360000</v>
      </c>
      <c r="AJ28" s="40"/>
      <c r="AK28" s="35">
        <v>0</v>
      </c>
      <c r="AL28" s="17"/>
      <c r="AM28" s="35">
        <v>0</v>
      </c>
      <c r="AN28" s="17"/>
      <c r="AO28" s="35">
        <v>0</v>
      </c>
      <c r="AP28" s="17"/>
      <c r="AQ28" s="35">
        <f t="shared" si="5"/>
        <v>1596000</v>
      </c>
      <c r="AR28" s="40"/>
      <c r="AS28" s="17">
        <v>0</v>
      </c>
      <c r="AT28" s="17"/>
      <c r="AU28" s="17">
        <v>0</v>
      </c>
      <c r="AV28" s="17"/>
      <c r="AW28" s="35">
        <f t="shared" si="6"/>
        <v>8757000</v>
      </c>
      <c r="AX28" s="17"/>
      <c r="AY28" s="81" t="s">
        <v>25</v>
      </c>
      <c r="AZ28" s="17"/>
      <c r="BA28" s="35">
        <f>5400*1000</f>
        <v>5400000</v>
      </c>
      <c r="BB28" s="17"/>
      <c r="BC28" s="35">
        <v>0</v>
      </c>
      <c r="BD28" s="17"/>
      <c r="BE28" s="35">
        <f>6500*1000</f>
        <v>6500000</v>
      </c>
      <c r="BF28" s="17"/>
      <c r="BG28" s="35">
        <v>0</v>
      </c>
      <c r="BH28" s="17"/>
      <c r="BI28" s="17"/>
      <c r="BJ28" s="17"/>
      <c r="BK28" s="35">
        <f t="shared" si="7"/>
        <v>11900000</v>
      </c>
      <c r="BL28" s="79"/>
    </row>
    <row r="29" spans="1:64" ht="12.75">
      <c r="A29" s="77" t="s">
        <v>26</v>
      </c>
      <c r="B29" s="77"/>
      <c r="C29" s="35">
        <f aca="true" t="shared" si="9" ref="C29:C76">+G29-E29</f>
        <v>858462</v>
      </c>
      <c r="D29" s="35"/>
      <c r="E29" s="35">
        <v>78752</v>
      </c>
      <c r="F29" s="35"/>
      <c r="G29" s="35">
        <v>937214</v>
      </c>
      <c r="H29" s="35"/>
      <c r="I29" s="35">
        <f aca="true" t="shared" si="10" ref="I29:I76">M29-K29</f>
        <v>13477</v>
      </c>
      <c r="J29" s="35"/>
      <c r="K29" s="35">
        <f aca="true" t="shared" si="11" ref="K29:K76">SUM(BK29)</f>
        <v>2109</v>
      </c>
      <c r="L29" s="35"/>
      <c r="M29" s="35">
        <v>15586</v>
      </c>
      <c r="N29" s="35"/>
      <c r="O29" s="35">
        <v>78752</v>
      </c>
      <c r="P29" s="35"/>
      <c r="Q29" s="35">
        <v>0</v>
      </c>
      <c r="R29" s="35"/>
      <c r="S29" s="35">
        <v>842876</v>
      </c>
      <c r="T29" s="35"/>
      <c r="U29" s="35">
        <f aca="true" t="shared" si="12" ref="U29:U76">SUM(O29:S29)</f>
        <v>921628</v>
      </c>
      <c r="V29" s="35"/>
      <c r="W29" s="35">
        <f aca="true" t="shared" si="13" ref="W29:W92">+G29-M29-U29</f>
        <v>0</v>
      </c>
      <c r="X29" s="35"/>
      <c r="Y29" s="81" t="s">
        <v>26</v>
      </c>
      <c r="Z29" s="35"/>
      <c r="AA29" s="35">
        <v>382121</v>
      </c>
      <c r="AB29" s="17"/>
      <c r="AC29" s="35">
        <f>146801+203394+13331</f>
        <v>363526</v>
      </c>
      <c r="AD29" s="17"/>
      <c r="AE29" s="35">
        <v>4760</v>
      </c>
      <c r="AF29" s="17"/>
      <c r="AG29" s="35">
        <f aca="true" t="shared" si="14" ref="AG29:AG92">+AA29-AC29-AE29</f>
        <v>13835</v>
      </c>
      <c r="AH29" s="40"/>
      <c r="AI29" s="35">
        <v>13111</v>
      </c>
      <c r="AJ29" s="40"/>
      <c r="AK29" s="35">
        <v>10772</v>
      </c>
      <c r="AL29" s="17"/>
      <c r="AM29" s="35">
        <v>0</v>
      </c>
      <c r="AN29" s="17"/>
      <c r="AO29" s="35">
        <v>0</v>
      </c>
      <c r="AP29" s="17"/>
      <c r="AQ29" s="35">
        <f aca="true" t="shared" si="15" ref="AQ29:AQ92">+AO29+AK29-AM29+AI29+AG29</f>
        <v>37718</v>
      </c>
      <c r="AR29" s="40"/>
      <c r="AS29" s="17">
        <v>0</v>
      </c>
      <c r="AT29" s="17"/>
      <c r="AU29" s="17">
        <v>0</v>
      </c>
      <c r="AV29" s="17"/>
      <c r="AW29" s="35">
        <f aca="true" t="shared" si="16" ref="AW29:AW92">+C29-I29</f>
        <v>844985</v>
      </c>
      <c r="AX29" s="17"/>
      <c r="AY29" s="81" t="s">
        <v>26</v>
      </c>
      <c r="AZ29" s="17"/>
      <c r="BA29" s="35">
        <v>0</v>
      </c>
      <c r="BB29" s="17"/>
      <c r="BC29" s="35">
        <v>0</v>
      </c>
      <c r="BD29" s="17"/>
      <c r="BE29" s="35">
        <v>0</v>
      </c>
      <c r="BF29" s="17"/>
      <c r="BG29" s="35">
        <v>2109</v>
      </c>
      <c r="BH29" s="17"/>
      <c r="BI29" s="17"/>
      <c r="BJ29" s="17"/>
      <c r="BK29" s="35">
        <f aca="true" t="shared" si="17" ref="BK29:BK92">SUM(BA29:BI29)</f>
        <v>2109</v>
      </c>
      <c r="BL29" s="79"/>
    </row>
    <row r="30" spans="1:64" ht="12.75">
      <c r="A30" s="77" t="s">
        <v>27</v>
      </c>
      <c r="B30" s="77"/>
      <c r="C30" s="35">
        <f t="shared" si="9"/>
        <v>635605</v>
      </c>
      <c r="D30" s="35"/>
      <c r="E30" s="35">
        <v>5597761</v>
      </c>
      <c r="F30" s="35"/>
      <c r="G30" s="35">
        <v>6233366</v>
      </c>
      <c r="H30" s="35"/>
      <c r="I30" s="35">
        <f t="shared" si="10"/>
        <v>90034</v>
      </c>
      <c r="J30" s="35"/>
      <c r="K30" s="35">
        <f t="shared" si="11"/>
        <v>157644</v>
      </c>
      <c r="L30" s="35"/>
      <c r="M30" s="35">
        <v>247678</v>
      </c>
      <c r="N30" s="35"/>
      <c r="O30" s="35">
        <v>5431361</v>
      </c>
      <c r="P30" s="35"/>
      <c r="Q30" s="35">
        <v>0</v>
      </c>
      <c r="R30" s="35"/>
      <c r="S30" s="35">
        <v>554327</v>
      </c>
      <c r="T30" s="35"/>
      <c r="U30" s="35">
        <f t="shared" si="12"/>
        <v>5985688</v>
      </c>
      <c r="V30" s="35"/>
      <c r="W30" s="35">
        <f t="shared" si="13"/>
        <v>0</v>
      </c>
      <c r="X30" s="35"/>
      <c r="Y30" s="81" t="s">
        <v>27</v>
      </c>
      <c r="Z30" s="35"/>
      <c r="AA30" s="35">
        <v>505984</v>
      </c>
      <c r="AB30" s="17"/>
      <c r="AC30" s="35">
        <f>127373+284633+14141+83406</f>
        <v>509553</v>
      </c>
      <c r="AD30" s="17"/>
      <c r="AE30" s="35">
        <v>139310</v>
      </c>
      <c r="AF30" s="17"/>
      <c r="AG30" s="35">
        <f t="shared" si="14"/>
        <v>-142879</v>
      </c>
      <c r="AH30" s="40"/>
      <c r="AI30" s="35">
        <v>-8373</v>
      </c>
      <c r="AJ30" s="40"/>
      <c r="AK30" s="35">
        <v>0</v>
      </c>
      <c r="AL30" s="17"/>
      <c r="AM30" s="35">
        <v>0</v>
      </c>
      <c r="AN30" s="17"/>
      <c r="AO30" s="35">
        <v>206399</v>
      </c>
      <c r="AP30" s="17"/>
      <c r="AQ30" s="35">
        <f t="shared" si="15"/>
        <v>55147</v>
      </c>
      <c r="AR30" s="40"/>
      <c r="AS30" s="17">
        <v>0</v>
      </c>
      <c r="AT30" s="17"/>
      <c r="AU30" s="17">
        <v>0</v>
      </c>
      <c r="AV30" s="17"/>
      <c r="AW30" s="35">
        <f t="shared" si="16"/>
        <v>545571</v>
      </c>
      <c r="AX30" s="17"/>
      <c r="AY30" s="81" t="s">
        <v>27</v>
      </c>
      <c r="AZ30" s="17"/>
      <c r="BA30" s="35">
        <v>15000</v>
      </c>
      <c r="BB30" s="17"/>
      <c r="BC30" s="35">
        <v>58700</v>
      </c>
      <c r="BD30" s="17"/>
      <c r="BE30" s="35">
        <v>0</v>
      </c>
      <c r="BF30" s="17"/>
      <c r="BG30" s="35">
        <f>77000+6944</f>
        <v>83944</v>
      </c>
      <c r="BH30" s="17"/>
      <c r="BI30" s="17"/>
      <c r="BJ30" s="17"/>
      <c r="BK30" s="35">
        <f t="shared" si="17"/>
        <v>157644</v>
      </c>
      <c r="BL30" s="79"/>
    </row>
    <row r="31" spans="1:64" ht="12.75">
      <c r="A31" s="77" t="s">
        <v>28</v>
      </c>
      <c r="B31" s="77"/>
      <c r="C31" s="35">
        <f t="shared" si="9"/>
        <v>49319325</v>
      </c>
      <c r="D31" s="35"/>
      <c r="E31" s="35">
        <v>173252909</v>
      </c>
      <c r="F31" s="35"/>
      <c r="G31" s="35">
        <v>222572234</v>
      </c>
      <c r="H31" s="35"/>
      <c r="I31" s="35">
        <f t="shared" si="10"/>
        <v>5795777</v>
      </c>
      <c r="J31" s="35"/>
      <c r="K31" s="35">
        <f t="shared" si="11"/>
        <v>36807365</v>
      </c>
      <c r="L31" s="35"/>
      <c r="M31" s="35">
        <v>42603142</v>
      </c>
      <c r="N31" s="35"/>
      <c r="O31" s="35">
        <v>132239447</v>
      </c>
      <c r="P31" s="35"/>
      <c r="Q31" s="35">
        <f>500000+3760600</f>
        <v>4260600</v>
      </c>
      <c r="R31" s="35"/>
      <c r="S31" s="35">
        <v>43469045</v>
      </c>
      <c r="T31" s="35"/>
      <c r="U31" s="35">
        <f t="shared" si="12"/>
        <v>179969092</v>
      </c>
      <c r="V31" s="35"/>
      <c r="W31" s="35">
        <f t="shared" si="13"/>
        <v>0</v>
      </c>
      <c r="X31" s="35"/>
      <c r="Y31" s="81" t="s">
        <v>28</v>
      </c>
      <c r="Z31" s="35"/>
      <c r="AA31" s="35">
        <v>10641711</v>
      </c>
      <c r="AB31" s="17"/>
      <c r="AC31" s="35">
        <f>1810534+817851+2535652+501707</f>
        <v>5665744</v>
      </c>
      <c r="AD31" s="17"/>
      <c r="AE31" s="35">
        <v>5664472</v>
      </c>
      <c r="AF31" s="17"/>
      <c r="AG31" s="35">
        <f t="shared" si="14"/>
        <v>-688505</v>
      </c>
      <c r="AH31" s="40"/>
      <c r="AI31" s="35">
        <v>-1550633</v>
      </c>
      <c r="AJ31" s="40"/>
      <c r="AK31" s="35">
        <v>0</v>
      </c>
      <c r="AL31" s="17"/>
      <c r="AM31" s="35">
        <v>0</v>
      </c>
      <c r="AN31" s="17"/>
      <c r="AO31" s="35">
        <v>10209360</v>
      </c>
      <c r="AP31" s="17"/>
      <c r="AQ31" s="35">
        <f t="shared" si="15"/>
        <v>7970222</v>
      </c>
      <c r="AR31" s="40"/>
      <c r="AS31" s="17">
        <v>0</v>
      </c>
      <c r="AT31" s="17"/>
      <c r="AU31" s="17">
        <v>0</v>
      </c>
      <c r="AV31" s="17"/>
      <c r="AW31" s="35">
        <f t="shared" si="16"/>
        <v>43523548</v>
      </c>
      <c r="AX31" s="17"/>
      <c r="AY31" s="81" t="s">
        <v>28</v>
      </c>
      <c r="AZ31" s="17"/>
      <c r="BA31" s="35">
        <f>10494840-4100000</f>
        <v>6394840</v>
      </c>
      <c r="BB31" s="17"/>
      <c r="BC31" s="35">
        <f>30518622-200000</f>
        <v>30318622</v>
      </c>
      <c r="BD31" s="17"/>
      <c r="BE31" s="35">
        <v>0</v>
      </c>
      <c r="BF31" s="17"/>
      <c r="BG31" s="35">
        <v>93903</v>
      </c>
      <c r="BH31" s="17"/>
      <c r="BI31" s="17"/>
      <c r="BJ31" s="17"/>
      <c r="BK31" s="35">
        <f t="shared" si="17"/>
        <v>36807365</v>
      </c>
      <c r="BL31" s="79"/>
    </row>
    <row r="32" spans="1:64" ht="12.75">
      <c r="A32" s="77" t="s">
        <v>29</v>
      </c>
      <c r="B32" s="77"/>
      <c r="C32" s="35">
        <f t="shared" si="9"/>
        <v>7485376</v>
      </c>
      <c r="D32" s="35"/>
      <c r="E32" s="35">
        <v>64808148</v>
      </c>
      <c r="F32" s="35"/>
      <c r="G32" s="35">
        <v>72293524</v>
      </c>
      <c r="H32" s="35"/>
      <c r="I32" s="35">
        <f t="shared" si="10"/>
        <v>7602212</v>
      </c>
      <c r="J32" s="35"/>
      <c r="K32" s="35">
        <v>38059647</v>
      </c>
      <c r="L32" s="35"/>
      <c r="M32" s="35">
        <v>45661859</v>
      </c>
      <c r="N32" s="35"/>
      <c r="O32" s="35">
        <v>25354130</v>
      </c>
      <c r="P32" s="35"/>
      <c r="Q32" s="35">
        <v>0</v>
      </c>
      <c r="R32" s="35"/>
      <c r="S32" s="35">
        <v>1277535</v>
      </c>
      <c r="T32" s="35"/>
      <c r="U32" s="35">
        <f t="shared" si="12"/>
        <v>26631665</v>
      </c>
      <c r="V32" s="35"/>
      <c r="W32" s="35">
        <f t="shared" si="13"/>
        <v>0</v>
      </c>
      <c r="X32" s="35"/>
      <c r="Y32" s="81" t="s">
        <v>29</v>
      </c>
      <c r="Z32" s="35"/>
      <c r="AA32" s="35">
        <v>6863018</v>
      </c>
      <c r="AB32" s="17"/>
      <c r="AC32" s="35">
        <f>11438719-2074805</f>
        <v>9363914</v>
      </c>
      <c r="AD32" s="17"/>
      <c r="AE32" s="35">
        <v>2074805</v>
      </c>
      <c r="AF32" s="17"/>
      <c r="AG32" s="35">
        <f t="shared" si="14"/>
        <v>-4575701</v>
      </c>
      <c r="AH32" s="40"/>
      <c r="AI32" s="35">
        <v>-1793698</v>
      </c>
      <c r="AJ32" s="40"/>
      <c r="AK32" s="35">
        <v>107488</v>
      </c>
      <c r="AL32" s="17"/>
      <c r="AM32" s="35">
        <v>13200</v>
      </c>
      <c r="AN32" s="17"/>
      <c r="AO32" s="35">
        <v>2879114</v>
      </c>
      <c r="AP32" s="17"/>
      <c r="AQ32" s="35">
        <f t="shared" si="15"/>
        <v>-3395997</v>
      </c>
      <c r="AR32" s="40"/>
      <c r="AS32" s="17">
        <v>0</v>
      </c>
      <c r="AT32" s="17"/>
      <c r="AU32" s="17">
        <v>0</v>
      </c>
      <c r="AV32" s="17"/>
      <c r="AW32" s="35">
        <f t="shared" si="16"/>
        <v>-116836</v>
      </c>
      <c r="AX32" s="17"/>
      <c r="AY32" s="81" t="s">
        <v>29</v>
      </c>
      <c r="AZ32" s="17"/>
      <c r="BA32" s="35">
        <v>5604755</v>
      </c>
      <c r="BB32" s="17"/>
      <c r="BC32" s="35">
        <v>0</v>
      </c>
      <c r="BD32" s="17"/>
      <c r="BE32" s="35">
        <f>31151602+215038</f>
        <v>31366640</v>
      </c>
      <c r="BF32" s="17"/>
      <c r="BG32" s="35">
        <f>88172+1000080</f>
        <v>1088252</v>
      </c>
      <c r="BH32" s="17"/>
      <c r="BI32" s="17"/>
      <c r="BJ32" s="17"/>
      <c r="BK32" s="35">
        <f t="shared" si="17"/>
        <v>38059647</v>
      </c>
      <c r="BL32" s="79"/>
    </row>
    <row r="33" spans="1:75" ht="12.75">
      <c r="A33" s="77" t="s">
        <v>30</v>
      </c>
      <c r="B33" s="77"/>
      <c r="C33" s="35">
        <f t="shared" si="9"/>
        <v>5297501</v>
      </c>
      <c r="D33" s="35"/>
      <c r="E33" s="35">
        <v>29941903</v>
      </c>
      <c r="F33" s="35"/>
      <c r="G33" s="35">
        <v>35239404</v>
      </c>
      <c r="H33" s="35"/>
      <c r="I33" s="35">
        <f t="shared" si="10"/>
        <v>1008686</v>
      </c>
      <c r="J33" s="35"/>
      <c r="K33" s="35">
        <f t="shared" si="11"/>
        <v>13991883</v>
      </c>
      <c r="L33" s="35"/>
      <c r="M33" s="35">
        <v>15000569</v>
      </c>
      <c r="N33" s="35"/>
      <c r="O33" s="35">
        <v>15585280</v>
      </c>
      <c r="P33" s="35"/>
      <c r="Q33" s="35">
        <v>0</v>
      </c>
      <c r="R33" s="35"/>
      <c r="S33" s="35">
        <v>4653555</v>
      </c>
      <c r="T33" s="35"/>
      <c r="U33" s="35">
        <f t="shared" si="12"/>
        <v>20238835</v>
      </c>
      <c r="V33" s="35"/>
      <c r="W33" s="35">
        <f t="shared" si="13"/>
        <v>0</v>
      </c>
      <c r="X33" s="35"/>
      <c r="Y33" s="81" t="s">
        <v>30</v>
      </c>
      <c r="Z33" s="35"/>
      <c r="AA33" s="35">
        <v>2990359</v>
      </c>
      <c r="AB33" s="17"/>
      <c r="AC33" s="35">
        <f>2908463-815776</f>
        <v>2092687</v>
      </c>
      <c r="AD33" s="17"/>
      <c r="AE33" s="35">
        <v>815776</v>
      </c>
      <c r="AF33" s="17"/>
      <c r="AG33" s="35">
        <f t="shared" si="14"/>
        <v>81896</v>
      </c>
      <c r="AH33" s="40"/>
      <c r="AI33" s="35">
        <v>-525281</v>
      </c>
      <c r="AJ33" s="40"/>
      <c r="AK33" s="35">
        <v>0</v>
      </c>
      <c r="AL33" s="17"/>
      <c r="AM33" s="35">
        <v>0</v>
      </c>
      <c r="AN33" s="17"/>
      <c r="AO33" s="35">
        <v>323496</v>
      </c>
      <c r="AP33" s="17"/>
      <c r="AQ33" s="35">
        <f t="shared" si="15"/>
        <v>-119889</v>
      </c>
      <c r="AR33" s="40"/>
      <c r="AS33" s="17">
        <v>0</v>
      </c>
      <c r="AT33" s="17"/>
      <c r="AU33" s="17">
        <v>0</v>
      </c>
      <c r="AV33" s="17"/>
      <c r="AW33" s="35">
        <f t="shared" si="16"/>
        <v>4288815</v>
      </c>
      <c r="AX33" s="17"/>
      <c r="AY33" s="81" t="s">
        <v>30</v>
      </c>
      <c r="AZ33" s="17"/>
      <c r="BA33" s="35">
        <v>12482652</v>
      </c>
      <c r="BB33" s="17"/>
      <c r="BC33" s="35">
        <v>0</v>
      </c>
      <c r="BD33" s="17"/>
      <c r="BE33" s="35">
        <f>1171321+66322</f>
        <v>1237643</v>
      </c>
      <c r="BF33" s="17"/>
      <c r="BG33" s="35">
        <f>170321+92485+8782</f>
        <v>271588</v>
      </c>
      <c r="BH33" s="17"/>
      <c r="BI33" s="17"/>
      <c r="BJ33" s="17"/>
      <c r="BK33" s="35">
        <f t="shared" si="17"/>
        <v>13991883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</row>
    <row r="34" spans="1:64" ht="12.75" hidden="1">
      <c r="A34" s="77" t="s">
        <v>239</v>
      </c>
      <c r="B34" s="77"/>
      <c r="C34" s="35">
        <f t="shared" si="9"/>
        <v>0</v>
      </c>
      <c r="D34" s="35"/>
      <c r="E34" s="35">
        <v>0</v>
      </c>
      <c r="F34" s="35"/>
      <c r="G34" s="35">
        <v>0</v>
      </c>
      <c r="H34" s="35"/>
      <c r="I34" s="35">
        <f t="shared" si="10"/>
        <v>0</v>
      </c>
      <c r="J34" s="35"/>
      <c r="K34" s="35">
        <f t="shared" si="11"/>
        <v>0</v>
      </c>
      <c r="L34" s="35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f t="shared" si="12"/>
        <v>0</v>
      </c>
      <c r="V34" s="35"/>
      <c r="W34" s="35">
        <f t="shared" si="13"/>
        <v>0</v>
      </c>
      <c r="X34" s="35"/>
      <c r="Y34" s="81" t="s">
        <v>239</v>
      </c>
      <c r="Z34" s="35"/>
      <c r="AA34" s="35">
        <v>0</v>
      </c>
      <c r="AB34" s="17"/>
      <c r="AC34" s="35">
        <v>0</v>
      </c>
      <c r="AD34" s="17"/>
      <c r="AE34" s="35">
        <v>0</v>
      </c>
      <c r="AF34" s="17"/>
      <c r="AG34" s="35">
        <f t="shared" si="14"/>
        <v>0</v>
      </c>
      <c r="AH34" s="40"/>
      <c r="AI34" s="35">
        <v>0</v>
      </c>
      <c r="AJ34" s="40"/>
      <c r="AK34" s="35">
        <v>0</v>
      </c>
      <c r="AL34" s="17"/>
      <c r="AM34" s="35">
        <v>0</v>
      </c>
      <c r="AN34" s="17"/>
      <c r="AO34" s="35">
        <v>0</v>
      </c>
      <c r="AP34" s="17"/>
      <c r="AQ34" s="35">
        <f t="shared" si="15"/>
        <v>0</v>
      </c>
      <c r="AR34" s="40"/>
      <c r="AS34" s="17">
        <v>0</v>
      </c>
      <c r="AT34" s="17"/>
      <c r="AU34" s="17">
        <v>0</v>
      </c>
      <c r="AV34" s="17"/>
      <c r="AW34" s="35">
        <f t="shared" si="16"/>
        <v>0</v>
      </c>
      <c r="AX34" s="35"/>
      <c r="AY34" s="81" t="s">
        <v>239</v>
      </c>
      <c r="AZ34" s="35"/>
      <c r="BA34" s="35">
        <v>0</v>
      </c>
      <c r="BB34" s="17"/>
      <c r="BC34" s="35">
        <v>0</v>
      </c>
      <c r="BD34" s="17"/>
      <c r="BE34" s="35">
        <v>0</v>
      </c>
      <c r="BF34" s="17"/>
      <c r="BG34" s="35">
        <v>0</v>
      </c>
      <c r="BH34" s="17"/>
      <c r="BI34" s="17"/>
      <c r="BJ34" s="17"/>
      <c r="BK34" s="35">
        <f t="shared" si="17"/>
        <v>0</v>
      </c>
      <c r="BL34" s="79"/>
    </row>
    <row r="35" spans="1:64" ht="12.75">
      <c r="A35" s="77" t="s">
        <v>32</v>
      </c>
      <c r="B35" s="77"/>
      <c r="C35" s="35">
        <f t="shared" si="9"/>
        <v>3420000</v>
      </c>
      <c r="D35" s="35"/>
      <c r="E35" s="35">
        <f>20983*1000</f>
        <v>20983000</v>
      </c>
      <c r="F35" s="35"/>
      <c r="G35" s="35">
        <f>24403*1000</f>
        <v>24403000</v>
      </c>
      <c r="H35" s="35"/>
      <c r="I35" s="35">
        <f t="shared" si="10"/>
        <v>1561000</v>
      </c>
      <c r="J35" s="35"/>
      <c r="K35" s="35">
        <f t="shared" si="11"/>
        <v>6415000</v>
      </c>
      <c r="L35" s="35"/>
      <c r="M35" s="35">
        <f>7976*1000</f>
        <v>7976000</v>
      </c>
      <c r="N35" s="35"/>
      <c r="O35" s="35">
        <f>14300*1000</f>
        <v>14300000</v>
      </c>
      <c r="P35" s="35"/>
      <c r="Q35" s="35">
        <v>0</v>
      </c>
      <c r="R35" s="35"/>
      <c r="S35" s="35">
        <f>2127*1000</f>
        <v>2127000</v>
      </c>
      <c r="T35" s="35"/>
      <c r="U35" s="35">
        <f t="shared" si="12"/>
        <v>16427000</v>
      </c>
      <c r="V35" s="35"/>
      <c r="W35" s="35">
        <f t="shared" si="13"/>
        <v>0</v>
      </c>
      <c r="X35" s="35"/>
      <c r="Y35" s="81" t="s">
        <v>32</v>
      </c>
      <c r="Z35" s="35"/>
      <c r="AA35" s="35">
        <f>5031*1000</f>
        <v>5031000</v>
      </c>
      <c r="AB35" s="17"/>
      <c r="AC35" s="35">
        <f>(810+4432)*1000</f>
        <v>5242000</v>
      </c>
      <c r="AD35" s="17"/>
      <c r="AE35" s="35">
        <f>481*1000</f>
        <v>481000</v>
      </c>
      <c r="AF35" s="17"/>
      <c r="AG35" s="35">
        <f t="shared" si="14"/>
        <v>-692000</v>
      </c>
      <c r="AH35" s="40"/>
      <c r="AI35" s="35">
        <f>-167*1000</f>
        <v>-167000</v>
      </c>
      <c r="AJ35" s="40"/>
      <c r="AK35" s="35">
        <v>0</v>
      </c>
      <c r="AL35" s="17"/>
      <c r="AM35" s="35">
        <v>0</v>
      </c>
      <c r="AN35" s="17"/>
      <c r="AO35" s="35">
        <v>0</v>
      </c>
      <c r="AP35" s="17"/>
      <c r="AQ35" s="35">
        <f t="shared" si="15"/>
        <v>-859000</v>
      </c>
      <c r="AR35" s="40"/>
      <c r="AS35" s="17">
        <v>0</v>
      </c>
      <c r="AT35" s="17"/>
      <c r="AU35" s="17">
        <v>0</v>
      </c>
      <c r="AV35" s="17"/>
      <c r="AW35" s="35">
        <f t="shared" si="16"/>
        <v>1859000</v>
      </c>
      <c r="AX35" s="35"/>
      <c r="AY35" s="81" t="s">
        <v>32</v>
      </c>
      <c r="AZ35" s="35"/>
      <c r="BA35" s="35">
        <v>0</v>
      </c>
      <c r="BB35" s="17"/>
      <c r="BC35" s="35">
        <v>0</v>
      </c>
      <c r="BD35" s="17"/>
      <c r="BE35" s="35">
        <f>6273*1000</f>
        <v>6273000</v>
      </c>
      <c r="BF35" s="17"/>
      <c r="BG35" s="35">
        <f>142*1000</f>
        <v>142000</v>
      </c>
      <c r="BH35" s="17"/>
      <c r="BI35" s="17"/>
      <c r="BJ35" s="17"/>
      <c r="BK35" s="35">
        <f t="shared" si="17"/>
        <v>6415000</v>
      </c>
      <c r="BL35" s="79"/>
    </row>
    <row r="36" spans="1:64" ht="12.75">
      <c r="A36" s="77" t="s">
        <v>33</v>
      </c>
      <c r="B36" s="77"/>
      <c r="C36" s="35">
        <f t="shared" si="9"/>
        <v>1171644</v>
      </c>
      <c r="D36" s="35"/>
      <c r="E36" s="35">
        <v>6275125</v>
      </c>
      <c r="F36" s="35"/>
      <c r="G36" s="35">
        <v>7446769</v>
      </c>
      <c r="H36" s="35"/>
      <c r="I36" s="35">
        <f t="shared" si="10"/>
        <v>276666</v>
      </c>
      <c r="J36" s="35"/>
      <c r="K36" s="35">
        <f t="shared" si="11"/>
        <v>1252495</v>
      </c>
      <c r="L36" s="35"/>
      <c r="M36" s="35">
        <v>1529161</v>
      </c>
      <c r="N36" s="35"/>
      <c r="O36" s="35">
        <v>5106676</v>
      </c>
      <c r="P36" s="35"/>
      <c r="Q36" s="35">
        <v>0</v>
      </c>
      <c r="R36" s="35"/>
      <c r="S36" s="35">
        <v>810932</v>
      </c>
      <c r="T36" s="35"/>
      <c r="U36" s="35">
        <f t="shared" si="12"/>
        <v>5917608</v>
      </c>
      <c r="V36" s="35"/>
      <c r="W36" s="35">
        <f t="shared" si="13"/>
        <v>0</v>
      </c>
      <c r="X36" s="35"/>
      <c r="Y36" s="81" t="s">
        <v>33</v>
      </c>
      <c r="Z36" s="35"/>
      <c r="AA36" s="35">
        <v>209186</v>
      </c>
      <c r="AB36" s="17"/>
      <c r="AC36" s="35">
        <f>102630+37095+1079+2480+26932</f>
        <v>170216</v>
      </c>
      <c r="AD36" s="17"/>
      <c r="AE36" s="35">
        <v>141451</v>
      </c>
      <c r="AF36" s="17"/>
      <c r="AG36" s="35">
        <f t="shared" si="14"/>
        <v>-102481</v>
      </c>
      <c r="AH36" s="40"/>
      <c r="AI36" s="35">
        <v>296734</v>
      </c>
      <c r="AJ36" s="40"/>
      <c r="AK36" s="35">
        <v>3999</v>
      </c>
      <c r="AL36" s="17"/>
      <c r="AM36" s="35">
        <v>0</v>
      </c>
      <c r="AN36" s="17"/>
      <c r="AO36" s="35">
        <v>180193</v>
      </c>
      <c r="AP36" s="17"/>
      <c r="AQ36" s="35">
        <f t="shared" si="15"/>
        <v>378445</v>
      </c>
      <c r="AR36" s="40"/>
      <c r="AS36" s="17">
        <v>0</v>
      </c>
      <c r="AT36" s="17"/>
      <c r="AU36" s="17">
        <v>0</v>
      </c>
      <c r="AV36" s="17"/>
      <c r="AW36" s="35">
        <f t="shared" si="16"/>
        <v>894978</v>
      </c>
      <c r="AX36" s="17"/>
      <c r="AY36" s="81" t="s">
        <v>33</v>
      </c>
      <c r="AZ36" s="17"/>
      <c r="BA36" s="35">
        <v>0</v>
      </c>
      <c r="BB36" s="17"/>
      <c r="BC36" s="35">
        <v>0</v>
      </c>
      <c r="BD36" s="17"/>
      <c r="BE36" s="35">
        <v>814205</v>
      </c>
      <c r="BF36" s="17"/>
      <c r="BG36" s="35">
        <f>436751+1539</f>
        <v>438290</v>
      </c>
      <c r="BH36" s="17"/>
      <c r="BI36" s="17"/>
      <c r="BJ36" s="17"/>
      <c r="BK36" s="35">
        <f t="shared" si="17"/>
        <v>1252495</v>
      </c>
      <c r="BL36" s="79"/>
    </row>
    <row r="37" spans="1:64" ht="12.75">
      <c r="A37" s="77" t="s">
        <v>34</v>
      </c>
      <c r="B37" s="77"/>
      <c r="C37" s="35">
        <f t="shared" si="9"/>
        <v>455302</v>
      </c>
      <c r="D37" s="35"/>
      <c r="E37" s="35">
        <v>4023627</v>
      </c>
      <c r="F37" s="35"/>
      <c r="G37" s="35">
        <v>4478929</v>
      </c>
      <c r="H37" s="35"/>
      <c r="I37" s="35">
        <f t="shared" si="10"/>
        <v>159670</v>
      </c>
      <c r="J37" s="35"/>
      <c r="K37" s="35">
        <f t="shared" si="11"/>
        <v>1929950</v>
      </c>
      <c r="L37" s="35"/>
      <c r="M37" s="35">
        <v>2089620</v>
      </c>
      <c r="N37" s="35"/>
      <c r="O37" s="35">
        <v>2057477</v>
      </c>
      <c r="P37" s="35"/>
      <c r="Q37" s="35">
        <v>0</v>
      </c>
      <c r="R37" s="35"/>
      <c r="S37" s="35">
        <v>331832</v>
      </c>
      <c r="T37" s="35"/>
      <c r="U37" s="35">
        <f t="shared" si="12"/>
        <v>2389309</v>
      </c>
      <c r="V37" s="35"/>
      <c r="W37" s="35">
        <f t="shared" si="13"/>
        <v>0</v>
      </c>
      <c r="X37" s="35"/>
      <c r="Y37" s="81" t="s">
        <v>34</v>
      </c>
      <c r="Z37" s="35"/>
      <c r="AA37" s="35">
        <v>212356</v>
      </c>
      <c r="AB37" s="17"/>
      <c r="AC37" s="35">
        <f>40080+44639+6693+6067</f>
        <v>97479</v>
      </c>
      <c r="AD37" s="17"/>
      <c r="AE37" s="35">
        <v>146176</v>
      </c>
      <c r="AF37" s="17"/>
      <c r="AG37" s="35">
        <f t="shared" si="14"/>
        <v>-31299</v>
      </c>
      <c r="AH37" s="40"/>
      <c r="AI37" s="35">
        <v>-129837</v>
      </c>
      <c r="AJ37" s="40"/>
      <c r="AK37" s="35">
        <v>0</v>
      </c>
      <c r="AL37" s="17"/>
      <c r="AM37" s="35">
        <v>0</v>
      </c>
      <c r="AN37" s="17"/>
      <c r="AO37" s="35">
        <v>0</v>
      </c>
      <c r="AP37" s="17"/>
      <c r="AQ37" s="35">
        <f t="shared" si="15"/>
        <v>-161136</v>
      </c>
      <c r="AR37" s="40"/>
      <c r="AS37" s="17">
        <v>0</v>
      </c>
      <c r="AT37" s="17"/>
      <c r="AU37" s="17">
        <v>0</v>
      </c>
      <c r="AV37" s="17"/>
      <c r="AW37" s="35">
        <f t="shared" si="16"/>
        <v>295632</v>
      </c>
      <c r="AX37" s="17"/>
      <c r="AY37" s="81" t="s">
        <v>34</v>
      </c>
      <c r="AZ37" s="17"/>
      <c r="BA37" s="35">
        <v>0</v>
      </c>
      <c r="BB37" s="17"/>
      <c r="BC37" s="35">
        <v>1774700</v>
      </c>
      <c r="BD37" s="17"/>
      <c r="BE37" s="35">
        <v>155250</v>
      </c>
      <c r="BF37" s="17"/>
      <c r="BG37" s="35">
        <v>0</v>
      </c>
      <c r="BH37" s="17"/>
      <c r="BI37" s="17"/>
      <c r="BJ37" s="17"/>
      <c r="BK37" s="35">
        <f t="shared" si="17"/>
        <v>1929950</v>
      </c>
      <c r="BL37" s="79"/>
    </row>
    <row r="38" spans="1:64" ht="12.75" hidden="1">
      <c r="A38" s="77" t="s">
        <v>35</v>
      </c>
      <c r="B38" s="77"/>
      <c r="C38" s="35">
        <f t="shared" si="9"/>
        <v>0</v>
      </c>
      <c r="D38" s="35"/>
      <c r="E38" s="35">
        <v>0</v>
      </c>
      <c r="F38" s="35"/>
      <c r="G38" s="35">
        <v>0</v>
      </c>
      <c r="H38" s="35"/>
      <c r="I38" s="35">
        <f t="shared" si="10"/>
        <v>0</v>
      </c>
      <c r="J38" s="35"/>
      <c r="K38" s="35">
        <f t="shared" si="11"/>
        <v>0</v>
      </c>
      <c r="L38" s="35"/>
      <c r="M38" s="35"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5">
        <f t="shared" si="12"/>
        <v>0</v>
      </c>
      <c r="V38" s="35"/>
      <c r="W38" s="35">
        <f t="shared" si="13"/>
        <v>0</v>
      </c>
      <c r="X38" s="35"/>
      <c r="Y38" s="81" t="s">
        <v>35</v>
      </c>
      <c r="Z38" s="35"/>
      <c r="AA38" s="35">
        <v>0</v>
      </c>
      <c r="AB38" s="17"/>
      <c r="AC38" s="35">
        <v>0</v>
      </c>
      <c r="AD38" s="17"/>
      <c r="AE38" s="35">
        <v>0</v>
      </c>
      <c r="AF38" s="17"/>
      <c r="AG38" s="35">
        <f t="shared" si="14"/>
        <v>0</v>
      </c>
      <c r="AH38" s="40"/>
      <c r="AI38" s="35">
        <v>0</v>
      </c>
      <c r="AJ38" s="40"/>
      <c r="AK38" s="35">
        <v>0</v>
      </c>
      <c r="AL38" s="17"/>
      <c r="AM38" s="35">
        <v>0</v>
      </c>
      <c r="AN38" s="17"/>
      <c r="AO38" s="35">
        <v>0</v>
      </c>
      <c r="AP38" s="17"/>
      <c r="AQ38" s="35">
        <f t="shared" si="15"/>
        <v>0</v>
      </c>
      <c r="AR38" s="40"/>
      <c r="AS38" s="17">
        <v>0</v>
      </c>
      <c r="AT38" s="17"/>
      <c r="AU38" s="17">
        <v>0</v>
      </c>
      <c r="AV38" s="17"/>
      <c r="AW38" s="35">
        <f t="shared" si="16"/>
        <v>0</v>
      </c>
      <c r="AX38" s="35"/>
      <c r="AY38" s="81" t="s">
        <v>35</v>
      </c>
      <c r="AZ38" s="35"/>
      <c r="BA38" s="35">
        <v>0</v>
      </c>
      <c r="BB38" s="17"/>
      <c r="BC38" s="35">
        <v>0</v>
      </c>
      <c r="BD38" s="17"/>
      <c r="BE38" s="35">
        <v>0</v>
      </c>
      <c r="BF38" s="17"/>
      <c r="BG38" s="35">
        <v>0</v>
      </c>
      <c r="BH38" s="17"/>
      <c r="BI38" s="17"/>
      <c r="BJ38" s="17"/>
      <c r="BK38" s="35">
        <f t="shared" si="17"/>
        <v>0</v>
      </c>
      <c r="BL38" s="79"/>
    </row>
    <row r="39" spans="1:64" ht="12.75">
      <c r="A39" s="77" t="s">
        <v>182</v>
      </c>
      <c r="B39" s="77"/>
      <c r="C39" s="35">
        <f t="shared" si="9"/>
        <v>17570584</v>
      </c>
      <c r="D39" s="35"/>
      <c r="E39" s="35">
        <v>179371389</v>
      </c>
      <c r="F39" s="35"/>
      <c r="G39" s="35">
        <v>196941973</v>
      </c>
      <c r="H39" s="35"/>
      <c r="I39" s="35">
        <f t="shared" si="10"/>
        <v>12150447</v>
      </c>
      <c r="J39" s="35"/>
      <c r="K39" s="35">
        <f t="shared" si="11"/>
        <v>121351840</v>
      </c>
      <c r="L39" s="35"/>
      <c r="M39" s="35">
        <v>133502287</v>
      </c>
      <c r="N39" s="35"/>
      <c r="O39" s="35">
        <v>45239275</v>
      </c>
      <c r="P39" s="35"/>
      <c r="Q39" s="35">
        <v>388081</v>
      </c>
      <c r="R39" s="35"/>
      <c r="S39" s="35">
        <v>17812328</v>
      </c>
      <c r="T39" s="35"/>
      <c r="U39" s="35">
        <f t="shared" si="12"/>
        <v>63439684</v>
      </c>
      <c r="V39" s="35"/>
      <c r="W39" s="35">
        <f t="shared" si="13"/>
        <v>2</v>
      </c>
      <c r="X39" s="35"/>
      <c r="Y39" s="81" t="s">
        <v>182</v>
      </c>
      <c r="Z39" s="35"/>
      <c r="AA39" s="35">
        <v>17737294</v>
      </c>
      <c r="AB39" s="17"/>
      <c r="AC39" s="35">
        <f>3244315+2581319+39269+588239</f>
        <v>6453142</v>
      </c>
      <c r="AD39" s="17"/>
      <c r="AE39" s="35">
        <v>2969232</v>
      </c>
      <c r="AF39" s="17"/>
      <c r="AG39" s="35">
        <f t="shared" si="14"/>
        <v>8314920</v>
      </c>
      <c r="AH39" s="40"/>
      <c r="AI39" s="35">
        <v>-4029014</v>
      </c>
      <c r="AJ39" s="40"/>
      <c r="AK39" s="35">
        <v>409375</v>
      </c>
      <c r="AL39" s="17"/>
      <c r="AM39" s="35">
        <v>2162</v>
      </c>
      <c r="AN39" s="17"/>
      <c r="AO39" s="35">
        <v>1219847</v>
      </c>
      <c r="AP39" s="17"/>
      <c r="AQ39" s="35">
        <f t="shared" si="15"/>
        <v>5912966</v>
      </c>
      <c r="AR39" s="40"/>
      <c r="AS39" s="17">
        <v>0</v>
      </c>
      <c r="AT39" s="17"/>
      <c r="AU39" s="17">
        <v>0</v>
      </c>
      <c r="AV39" s="17"/>
      <c r="AW39" s="35">
        <f t="shared" si="16"/>
        <v>5420137</v>
      </c>
      <c r="AX39" s="17"/>
      <c r="AY39" s="81" t="s">
        <v>182</v>
      </c>
      <c r="AZ39" s="17"/>
      <c r="BA39" s="35">
        <f>1765000+75665956</f>
        <v>77430956</v>
      </c>
      <c r="BB39" s="17"/>
      <c r="BC39" s="35">
        <v>7783608</v>
      </c>
      <c r="BD39" s="17"/>
      <c r="BE39" s="35">
        <f>21741933+11696673</f>
        <v>33438606</v>
      </c>
      <c r="BF39" s="17"/>
      <c r="BG39" s="35">
        <f>535000+2163670</f>
        <v>2698670</v>
      </c>
      <c r="BH39" s="17"/>
      <c r="BI39" s="17"/>
      <c r="BJ39" s="17"/>
      <c r="BK39" s="35">
        <f t="shared" si="17"/>
        <v>121351840</v>
      </c>
      <c r="BL39" s="79"/>
    </row>
    <row r="40" spans="1:64" ht="12.75" hidden="1">
      <c r="A40" s="77" t="s">
        <v>244</v>
      </c>
      <c r="B40" s="77"/>
      <c r="C40" s="35">
        <f t="shared" si="9"/>
        <v>0</v>
      </c>
      <c r="D40" s="35"/>
      <c r="E40" s="35"/>
      <c r="F40" s="35"/>
      <c r="G40" s="35"/>
      <c r="H40" s="35"/>
      <c r="I40" s="35">
        <f t="shared" si="10"/>
        <v>0</v>
      </c>
      <c r="J40" s="35"/>
      <c r="K40" s="35">
        <f t="shared" si="11"/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>
        <f t="shared" si="12"/>
        <v>0</v>
      </c>
      <c r="V40" s="35"/>
      <c r="W40" s="35">
        <f t="shared" si="13"/>
        <v>0</v>
      </c>
      <c r="X40" s="35"/>
      <c r="Y40" s="81" t="s">
        <v>36</v>
      </c>
      <c r="Z40" s="35"/>
      <c r="AA40" s="35"/>
      <c r="AB40" s="17"/>
      <c r="AC40" s="35"/>
      <c r="AD40" s="17"/>
      <c r="AE40" s="35"/>
      <c r="AF40" s="17"/>
      <c r="AG40" s="35">
        <f t="shared" si="14"/>
        <v>0</v>
      </c>
      <c r="AH40" s="40"/>
      <c r="AI40" s="35"/>
      <c r="AJ40" s="40"/>
      <c r="AK40" s="35"/>
      <c r="AL40" s="17"/>
      <c r="AM40" s="35"/>
      <c r="AN40" s="17"/>
      <c r="AO40" s="35"/>
      <c r="AP40" s="17"/>
      <c r="AQ40" s="35">
        <f t="shared" si="15"/>
        <v>0</v>
      </c>
      <c r="AR40" s="40"/>
      <c r="AS40" s="17">
        <v>0</v>
      </c>
      <c r="AT40" s="17"/>
      <c r="AU40" s="17">
        <v>0</v>
      </c>
      <c r="AV40" s="17"/>
      <c r="AW40" s="35">
        <f t="shared" si="16"/>
        <v>0</v>
      </c>
      <c r="AX40" s="17"/>
      <c r="AY40" s="81" t="s">
        <v>36</v>
      </c>
      <c r="AZ40" s="17"/>
      <c r="BA40" s="35"/>
      <c r="BB40" s="17"/>
      <c r="BC40" s="35"/>
      <c r="BD40" s="17"/>
      <c r="BE40" s="35"/>
      <c r="BF40" s="17"/>
      <c r="BG40" s="35"/>
      <c r="BH40" s="17"/>
      <c r="BI40" s="17"/>
      <c r="BJ40" s="17"/>
      <c r="BK40" s="35">
        <f t="shared" si="17"/>
        <v>0</v>
      </c>
      <c r="BL40" s="79"/>
    </row>
    <row r="41" spans="1:64" ht="12.75">
      <c r="A41" s="77" t="s">
        <v>37</v>
      </c>
      <c r="B41" s="77"/>
      <c r="C41" s="35">
        <f t="shared" si="9"/>
        <v>63299000</v>
      </c>
      <c r="D41" s="35"/>
      <c r="E41" s="35">
        <v>1214786000</v>
      </c>
      <c r="F41" s="35"/>
      <c r="G41" s="35">
        <v>1278085000</v>
      </c>
      <c r="H41" s="35"/>
      <c r="I41" s="35">
        <f t="shared" si="10"/>
        <v>53365000</v>
      </c>
      <c r="J41" s="35"/>
      <c r="K41" s="35">
        <f t="shared" si="11"/>
        <v>667667000</v>
      </c>
      <c r="L41" s="35"/>
      <c r="M41" s="35">
        <v>721032000</v>
      </c>
      <c r="N41" s="35"/>
      <c r="O41" s="35">
        <v>271762000</v>
      </c>
      <c r="P41" s="35"/>
      <c r="Q41" s="35">
        <v>5810000</v>
      </c>
      <c r="R41" s="35"/>
      <c r="S41" s="35">
        <v>279481000</v>
      </c>
      <c r="T41" s="35"/>
      <c r="U41" s="35">
        <f t="shared" si="12"/>
        <v>557053000</v>
      </c>
      <c r="V41" s="35"/>
      <c r="W41" s="35">
        <f t="shared" si="13"/>
        <v>0</v>
      </c>
      <c r="X41" s="35"/>
      <c r="Y41" s="81" t="s">
        <v>37</v>
      </c>
      <c r="Z41" s="35"/>
      <c r="AA41" s="35">
        <v>176933000</v>
      </c>
      <c r="AB41" s="17"/>
      <c r="AC41" s="35">
        <f>129763000-31507000</f>
        <v>98256000</v>
      </c>
      <c r="AD41" s="17"/>
      <c r="AE41" s="35">
        <v>31507000</v>
      </c>
      <c r="AF41" s="17"/>
      <c r="AG41" s="35">
        <f t="shared" si="14"/>
        <v>47170000</v>
      </c>
      <c r="AH41" s="40"/>
      <c r="AI41" s="35">
        <v>-10388000</v>
      </c>
      <c r="AJ41" s="40"/>
      <c r="AK41" s="35">
        <v>0</v>
      </c>
      <c r="AL41" s="17"/>
      <c r="AM41" s="35">
        <v>0</v>
      </c>
      <c r="AN41" s="17"/>
      <c r="AO41" s="35">
        <v>7081000</v>
      </c>
      <c r="AP41" s="17"/>
      <c r="AQ41" s="35">
        <f t="shared" si="15"/>
        <v>43863000</v>
      </c>
      <c r="AR41" s="40"/>
      <c r="AS41" s="17">
        <v>0</v>
      </c>
      <c r="AT41" s="17"/>
      <c r="AU41" s="17">
        <v>0</v>
      </c>
      <c r="AV41" s="17"/>
      <c r="AW41" s="35">
        <f t="shared" si="16"/>
        <v>9934000</v>
      </c>
      <c r="AX41" s="35"/>
      <c r="AY41" s="81" t="s">
        <v>37</v>
      </c>
      <c r="AZ41" s="35"/>
      <c r="BA41" s="35">
        <v>8082000</v>
      </c>
      <c r="BB41" s="17"/>
      <c r="BC41" s="35">
        <v>0</v>
      </c>
      <c r="BD41" s="17"/>
      <c r="BE41" s="35">
        <v>0</v>
      </c>
      <c r="BF41" s="17"/>
      <c r="BG41" s="35">
        <f>667667000-8082000</f>
        <v>659585000</v>
      </c>
      <c r="BH41" s="17"/>
      <c r="BI41" s="17"/>
      <c r="BJ41" s="17"/>
      <c r="BK41" s="35">
        <f t="shared" si="17"/>
        <v>667667000</v>
      </c>
      <c r="BL41" s="79"/>
    </row>
    <row r="42" spans="1:64" ht="12.75" hidden="1">
      <c r="A42" s="77" t="s">
        <v>38</v>
      </c>
      <c r="B42" s="77"/>
      <c r="C42" s="35">
        <f t="shared" si="9"/>
        <v>0</v>
      </c>
      <c r="D42" s="35"/>
      <c r="E42" s="35">
        <v>0</v>
      </c>
      <c r="F42" s="35"/>
      <c r="G42" s="35">
        <v>0</v>
      </c>
      <c r="H42" s="35"/>
      <c r="I42" s="35">
        <f t="shared" si="10"/>
        <v>0</v>
      </c>
      <c r="J42" s="35"/>
      <c r="K42" s="35">
        <f t="shared" si="11"/>
        <v>0</v>
      </c>
      <c r="L42" s="35"/>
      <c r="M42" s="35">
        <v>0</v>
      </c>
      <c r="N42" s="35"/>
      <c r="O42" s="35">
        <v>0</v>
      </c>
      <c r="P42" s="35"/>
      <c r="Q42" s="35">
        <v>0</v>
      </c>
      <c r="R42" s="35"/>
      <c r="S42" s="35">
        <v>0</v>
      </c>
      <c r="T42" s="35"/>
      <c r="U42" s="35">
        <f t="shared" si="12"/>
        <v>0</v>
      </c>
      <c r="V42" s="35"/>
      <c r="W42" s="35">
        <f t="shared" si="13"/>
        <v>0</v>
      </c>
      <c r="X42" s="35"/>
      <c r="Y42" s="81" t="s">
        <v>38</v>
      </c>
      <c r="Z42" s="35"/>
      <c r="AA42" s="35">
        <v>0</v>
      </c>
      <c r="AB42" s="17"/>
      <c r="AC42" s="35">
        <v>0</v>
      </c>
      <c r="AD42" s="17"/>
      <c r="AE42" s="35">
        <v>0</v>
      </c>
      <c r="AF42" s="17"/>
      <c r="AG42" s="35">
        <f t="shared" si="14"/>
        <v>0</v>
      </c>
      <c r="AH42" s="40"/>
      <c r="AI42" s="35">
        <v>0</v>
      </c>
      <c r="AJ42" s="40"/>
      <c r="AK42" s="35">
        <v>0</v>
      </c>
      <c r="AL42" s="17"/>
      <c r="AM42" s="35">
        <v>0</v>
      </c>
      <c r="AN42" s="17"/>
      <c r="AO42" s="35">
        <v>0</v>
      </c>
      <c r="AP42" s="17"/>
      <c r="AQ42" s="35">
        <f t="shared" si="15"/>
        <v>0</v>
      </c>
      <c r="AR42" s="40"/>
      <c r="AS42" s="17">
        <v>0</v>
      </c>
      <c r="AT42" s="17"/>
      <c r="AU42" s="17">
        <v>0</v>
      </c>
      <c r="AV42" s="17"/>
      <c r="AW42" s="35">
        <f t="shared" si="16"/>
        <v>0</v>
      </c>
      <c r="AX42" s="17"/>
      <c r="AY42" s="81" t="s">
        <v>38</v>
      </c>
      <c r="AZ42" s="17"/>
      <c r="BA42" s="35">
        <v>0</v>
      </c>
      <c r="BB42" s="17"/>
      <c r="BC42" s="35">
        <v>0</v>
      </c>
      <c r="BD42" s="17"/>
      <c r="BE42" s="35">
        <v>0</v>
      </c>
      <c r="BF42" s="17"/>
      <c r="BG42" s="35">
        <v>0</v>
      </c>
      <c r="BH42" s="17"/>
      <c r="BI42" s="17"/>
      <c r="BJ42" s="17"/>
      <c r="BK42" s="35">
        <f t="shared" si="17"/>
        <v>0</v>
      </c>
      <c r="BL42" s="79"/>
    </row>
    <row r="43" spans="1:64" ht="12.75" hidden="1">
      <c r="A43" s="77" t="s">
        <v>168</v>
      </c>
      <c r="B43" s="77"/>
      <c r="C43" s="35">
        <f t="shared" si="9"/>
        <v>0</v>
      </c>
      <c r="D43" s="35"/>
      <c r="E43" s="35">
        <v>0</v>
      </c>
      <c r="F43" s="35"/>
      <c r="G43" s="35">
        <v>0</v>
      </c>
      <c r="H43" s="35"/>
      <c r="I43" s="35">
        <f t="shared" si="10"/>
        <v>0</v>
      </c>
      <c r="J43" s="35"/>
      <c r="K43" s="35">
        <f t="shared" si="11"/>
        <v>0</v>
      </c>
      <c r="L43" s="35"/>
      <c r="M43" s="35">
        <v>0</v>
      </c>
      <c r="N43" s="35"/>
      <c r="O43" s="35">
        <v>0</v>
      </c>
      <c r="P43" s="35"/>
      <c r="Q43" s="35">
        <v>0</v>
      </c>
      <c r="R43" s="35"/>
      <c r="S43" s="35">
        <v>0</v>
      </c>
      <c r="T43" s="35"/>
      <c r="U43" s="35">
        <f t="shared" si="12"/>
        <v>0</v>
      </c>
      <c r="V43" s="35"/>
      <c r="W43" s="35">
        <f t="shared" si="13"/>
        <v>0</v>
      </c>
      <c r="X43" s="35"/>
      <c r="Y43" s="81" t="s">
        <v>168</v>
      </c>
      <c r="Z43" s="35"/>
      <c r="AA43" s="35">
        <v>0</v>
      </c>
      <c r="AB43" s="17"/>
      <c r="AC43" s="35">
        <v>0</v>
      </c>
      <c r="AD43" s="17"/>
      <c r="AE43" s="35">
        <v>0</v>
      </c>
      <c r="AF43" s="17"/>
      <c r="AG43" s="35">
        <f t="shared" si="14"/>
        <v>0</v>
      </c>
      <c r="AH43" s="40"/>
      <c r="AI43" s="35">
        <v>0</v>
      </c>
      <c r="AJ43" s="40"/>
      <c r="AK43" s="35">
        <v>0</v>
      </c>
      <c r="AL43" s="17"/>
      <c r="AM43" s="35">
        <v>0</v>
      </c>
      <c r="AN43" s="17"/>
      <c r="AO43" s="35">
        <v>0</v>
      </c>
      <c r="AP43" s="17"/>
      <c r="AQ43" s="35">
        <f t="shared" si="15"/>
        <v>0</v>
      </c>
      <c r="AR43" s="40"/>
      <c r="AS43" s="17">
        <v>0</v>
      </c>
      <c r="AT43" s="17"/>
      <c r="AU43" s="17">
        <v>0</v>
      </c>
      <c r="AV43" s="17"/>
      <c r="AW43" s="35">
        <f t="shared" si="16"/>
        <v>0</v>
      </c>
      <c r="AX43" s="35"/>
      <c r="AY43" s="81" t="s">
        <v>168</v>
      </c>
      <c r="AZ43" s="35"/>
      <c r="BA43" s="35">
        <v>0</v>
      </c>
      <c r="BB43" s="17"/>
      <c r="BC43" s="35">
        <v>0</v>
      </c>
      <c r="BD43" s="17"/>
      <c r="BE43" s="35">
        <v>0</v>
      </c>
      <c r="BF43" s="17"/>
      <c r="BG43" s="35">
        <v>0</v>
      </c>
      <c r="BH43" s="17"/>
      <c r="BI43" s="17"/>
      <c r="BJ43" s="17"/>
      <c r="BK43" s="35">
        <f t="shared" si="17"/>
        <v>0</v>
      </c>
      <c r="BL43" s="79"/>
    </row>
    <row r="44" spans="1:64" ht="12.75" hidden="1">
      <c r="A44" s="77" t="s">
        <v>39</v>
      </c>
      <c r="B44" s="77"/>
      <c r="C44" s="35">
        <f t="shared" si="9"/>
        <v>0</v>
      </c>
      <c r="D44" s="35"/>
      <c r="E44" s="35">
        <v>0</v>
      </c>
      <c r="F44" s="35"/>
      <c r="G44" s="35">
        <v>0</v>
      </c>
      <c r="H44" s="35"/>
      <c r="I44" s="35">
        <f t="shared" si="10"/>
        <v>0</v>
      </c>
      <c r="J44" s="35"/>
      <c r="K44" s="35">
        <f t="shared" si="11"/>
        <v>0</v>
      </c>
      <c r="L44" s="35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5">
        <f t="shared" si="12"/>
        <v>0</v>
      </c>
      <c r="V44" s="35"/>
      <c r="W44" s="35">
        <f t="shared" si="13"/>
        <v>0</v>
      </c>
      <c r="X44" s="35"/>
      <c r="Y44" s="81" t="s">
        <v>39</v>
      </c>
      <c r="Z44" s="35"/>
      <c r="AA44" s="35">
        <v>0</v>
      </c>
      <c r="AB44" s="17"/>
      <c r="AC44" s="35">
        <v>0</v>
      </c>
      <c r="AD44" s="17"/>
      <c r="AE44" s="35">
        <v>0</v>
      </c>
      <c r="AF44" s="17"/>
      <c r="AG44" s="35">
        <f t="shared" si="14"/>
        <v>0</v>
      </c>
      <c r="AH44" s="40"/>
      <c r="AI44" s="35">
        <v>0</v>
      </c>
      <c r="AJ44" s="40"/>
      <c r="AK44" s="35">
        <v>0</v>
      </c>
      <c r="AL44" s="17"/>
      <c r="AM44" s="35">
        <v>0</v>
      </c>
      <c r="AN44" s="17"/>
      <c r="AO44" s="35">
        <v>0</v>
      </c>
      <c r="AP44" s="17"/>
      <c r="AQ44" s="35">
        <f t="shared" si="15"/>
        <v>0</v>
      </c>
      <c r="AR44" s="40"/>
      <c r="AS44" s="17">
        <v>0</v>
      </c>
      <c r="AT44" s="17"/>
      <c r="AU44" s="17">
        <v>0</v>
      </c>
      <c r="AV44" s="17"/>
      <c r="AW44" s="35">
        <f t="shared" si="16"/>
        <v>0</v>
      </c>
      <c r="AX44" s="17"/>
      <c r="AY44" s="81" t="s">
        <v>39</v>
      </c>
      <c r="AZ44" s="17"/>
      <c r="BA44" s="35">
        <v>0</v>
      </c>
      <c r="BB44" s="17"/>
      <c r="BC44" s="35">
        <v>0</v>
      </c>
      <c r="BD44" s="17"/>
      <c r="BE44" s="35">
        <v>0</v>
      </c>
      <c r="BF44" s="17"/>
      <c r="BG44" s="35">
        <v>0</v>
      </c>
      <c r="BH44" s="17"/>
      <c r="BI44" s="17"/>
      <c r="BJ44" s="17"/>
      <c r="BK44" s="35">
        <f t="shared" si="17"/>
        <v>0</v>
      </c>
      <c r="BL44" s="79"/>
    </row>
    <row r="45" spans="1:64" ht="12.75" hidden="1">
      <c r="A45" s="77" t="s">
        <v>40</v>
      </c>
      <c r="B45" s="77"/>
      <c r="C45" s="35">
        <f t="shared" si="9"/>
        <v>0</v>
      </c>
      <c r="D45" s="35"/>
      <c r="E45" s="35">
        <v>0</v>
      </c>
      <c r="F45" s="35"/>
      <c r="G45" s="35">
        <v>0</v>
      </c>
      <c r="H45" s="35"/>
      <c r="I45" s="35">
        <f t="shared" si="10"/>
        <v>0</v>
      </c>
      <c r="J45" s="35"/>
      <c r="K45" s="35">
        <f t="shared" si="11"/>
        <v>0</v>
      </c>
      <c r="L45" s="35"/>
      <c r="M45" s="35">
        <v>0</v>
      </c>
      <c r="N45" s="35"/>
      <c r="O45" s="35">
        <v>0</v>
      </c>
      <c r="P45" s="35"/>
      <c r="Q45" s="35">
        <v>0</v>
      </c>
      <c r="R45" s="35"/>
      <c r="S45" s="35">
        <v>0</v>
      </c>
      <c r="T45" s="35"/>
      <c r="U45" s="35">
        <f t="shared" si="12"/>
        <v>0</v>
      </c>
      <c r="V45" s="35"/>
      <c r="W45" s="35">
        <f t="shared" si="13"/>
        <v>0</v>
      </c>
      <c r="X45" s="35"/>
      <c r="Y45" s="81" t="s">
        <v>40</v>
      </c>
      <c r="Z45" s="35"/>
      <c r="AA45" s="35">
        <v>0</v>
      </c>
      <c r="AB45" s="17"/>
      <c r="AC45" s="35">
        <v>0</v>
      </c>
      <c r="AD45" s="17"/>
      <c r="AE45" s="35">
        <v>0</v>
      </c>
      <c r="AF45" s="17"/>
      <c r="AG45" s="35">
        <f t="shared" si="14"/>
        <v>0</v>
      </c>
      <c r="AH45" s="40"/>
      <c r="AI45" s="35">
        <v>0</v>
      </c>
      <c r="AJ45" s="40"/>
      <c r="AK45" s="35">
        <v>0</v>
      </c>
      <c r="AL45" s="17"/>
      <c r="AM45" s="35">
        <v>0</v>
      </c>
      <c r="AN45" s="17"/>
      <c r="AO45" s="35">
        <v>0</v>
      </c>
      <c r="AP45" s="17"/>
      <c r="AQ45" s="35">
        <f t="shared" si="15"/>
        <v>0</v>
      </c>
      <c r="AR45" s="40"/>
      <c r="AS45" s="17">
        <v>0</v>
      </c>
      <c r="AT45" s="17"/>
      <c r="AU45" s="17">
        <v>0</v>
      </c>
      <c r="AV45" s="17"/>
      <c r="AW45" s="35">
        <f t="shared" si="16"/>
        <v>0</v>
      </c>
      <c r="AX45" s="35"/>
      <c r="AY45" s="81" t="s">
        <v>40</v>
      </c>
      <c r="AZ45" s="35"/>
      <c r="BA45" s="35">
        <v>0</v>
      </c>
      <c r="BB45" s="17"/>
      <c r="BC45" s="35">
        <v>0</v>
      </c>
      <c r="BD45" s="17"/>
      <c r="BE45" s="35">
        <v>0</v>
      </c>
      <c r="BF45" s="17"/>
      <c r="BG45" s="35">
        <v>0</v>
      </c>
      <c r="BH45" s="17"/>
      <c r="BI45" s="17"/>
      <c r="BJ45" s="17"/>
      <c r="BK45" s="35">
        <f t="shared" si="17"/>
        <v>0</v>
      </c>
      <c r="BL45" s="79"/>
    </row>
    <row r="46" spans="1:64" ht="12.75" hidden="1">
      <c r="A46" s="77" t="s">
        <v>41</v>
      </c>
      <c r="B46" s="77"/>
      <c r="C46" s="35">
        <f t="shared" si="9"/>
        <v>0</v>
      </c>
      <c r="D46" s="35"/>
      <c r="E46" s="35">
        <v>0</v>
      </c>
      <c r="F46" s="35"/>
      <c r="G46" s="35">
        <v>0</v>
      </c>
      <c r="H46" s="35"/>
      <c r="I46" s="35">
        <f t="shared" si="10"/>
        <v>0</v>
      </c>
      <c r="J46" s="35"/>
      <c r="K46" s="35">
        <f t="shared" si="11"/>
        <v>0</v>
      </c>
      <c r="L46" s="35"/>
      <c r="M46" s="35">
        <v>0</v>
      </c>
      <c r="N46" s="35"/>
      <c r="O46" s="35">
        <v>0</v>
      </c>
      <c r="P46" s="35"/>
      <c r="Q46" s="35">
        <v>0</v>
      </c>
      <c r="R46" s="35"/>
      <c r="S46" s="35">
        <v>0</v>
      </c>
      <c r="T46" s="35"/>
      <c r="U46" s="35">
        <f t="shared" si="12"/>
        <v>0</v>
      </c>
      <c r="V46" s="35"/>
      <c r="W46" s="35">
        <f t="shared" si="13"/>
        <v>0</v>
      </c>
      <c r="X46" s="35"/>
      <c r="Y46" s="81" t="s">
        <v>41</v>
      </c>
      <c r="Z46" s="35"/>
      <c r="AA46" s="35">
        <v>0</v>
      </c>
      <c r="AB46" s="17"/>
      <c r="AC46" s="35">
        <v>0</v>
      </c>
      <c r="AD46" s="17"/>
      <c r="AE46" s="35">
        <v>0</v>
      </c>
      <c r="AF46" s="17"/>
      <c r="AG46" s="35">
        <f t="shared" si="14"/>
        <v>0</v>
      </c>
      <c r="AH46" s="40"/>
      <c r="AI46" s="35">
        <v>0</v>
      </c>
      <c r="AJ46" s="40"/>
      <c r="AK46" s="35">
        <v>0</v>
      </c>
      <c r="AL46" s="17"/>
      <c r="AM46" s="35">
        <v>0</v>
      </c>
      <c r="AN46" s="17"/>
      <c r="AO46" s="35">
        <v>0</v>
      </c>
      <c r="AP46" s="17"/>
      <c r="AQ46" s="35">
        <f t="shared" si="15"/>
        <v>0</v>
      </c>
      <c r="AR46" s="40"/>
      <c r="AS46" s="17">
        <v>0</v>
      </c>
      <c r="AT46" s="17"/>
      <c r="AU46" s="17">
        <v>0</v>
      </c>
      <c r="AV46" s="17"/>
      <c r="AW46" s="35">
        <f t="shared" si="16"/>
        <v>0</v>
      </c>
      <c r="AX46" s="35"/>
      <c r="AY46" s="81" t="s">
        <v>41</v>
      </c>
      <c r="AZ46" s="35"/>
      <c r="BA46" s="35">
        <v>0</v>
      </c>
      <c r="BB46" s="17"/>
      <c r="BC46" s="35">
        <v>0</v>
      </c>
      <c r="BD46" s="17"/>
      <c r="BE46" s="35">
        <v>0</v>
      </c>
      <c r="BF46" s="17"/>
      <c r="BG46" s="35">
        <v>0</v>
      </c>
      <c r="BH46" s="17"/>
      <c r="BI46" s="17"/>
      <c r="BJ46" s="17"/>
      <c r="BK46" s="35">
        <f t="shared" si="17"/>
        <v>0</v>
      </c>
      <c r="BL46" s="79"/>
    </row>
    <row r="47" spans="1:64" ht="12.75" hidden="1">
      <c r="A47" s="77" t="s">
        <v>42</v>
      </c>
      <c r="B47" s="77"/>
      <c r="C47" s="35">
        <f t="shared" si="9"/>
        <v>0</v>
      </c>
      <c r="D47" s="35"/>
      <c r="E47" s="35">
        <v>0</v>
      </c>
      <c r="F47" s="35"/>
      <c r="G47" s="35">
        <v>0</v>
      </c>
      <c r="H47" s="35"/>
      <c r="I47" s="35">
        <f t="shared" si="10"/>
        <v>0</v>
      </c>
      <c r="J47" s="35"/>
      <c r="K47" s="35">
        <f t="shared" si="11"/>
        <v>0</v>
      </c>
      <c r="L47" s="35"/>
      <c r="M47" s="35">
        <v>0</v>
      </c>
      <c r="N47" s="35"/>
      <c r="O47" s="35">
        <v>0</v>
      </c>
      <c r="P47" s="35"/>
      <c r="Q47" s="35">
        <v>0</v>
      </c>
      <c r="R47" s="35"/>
      <c r="S47" s="35">
        <v>0</v>
      </c>
      <c r="T47" s="35"/>
      <c r="U47" s="35">
        <f t="shared" si="12"/>
        <v>0</v>
      </c>
      <c r="V47" s="35"/>
      <c r="W47" s="35">
        <f t="shared" si="13"/>
        <v>0</v>
      </c>
      <c r="X47" s="35"/>
      <c r="Y47" s="81" t="s">
        <v>42</v>
      </c>
      <c r="Z47" s="35"/>
      <c r="AA47" s="35">
        <v>0</v>
      </c>
      <c r="AB47" s="17"/>
      <c r="AC47" s="35">
        <v>0</v>
      </c>
      <c r="AD47" s="17"/>
      <c r="AE47" s="35">
        <v>0</v>
      </c>
      <c r="AF47" s="17"/>
      <c r="AG47" s="35">
        <f t="shared" si="14"/>
        <v>0</v>
      </c>
      <c r="AH47" s="40"/>
      <c r="AI47" s="35">
        <v>0</v>
      </c>
      <c r="AJ47" s="40"/>
      <c r="AK47" s="35">
        <v>0</v>
      </c>
      <c r="AL47" s="17"/>
      <c r="AM47" s="35">
        <v>0</v>
      </c>
      <c r="AN47" s="17"/>
      <c r="AO47" s="35">
        <v>0</v>
      </c>
      <c r="AP47" s="17"/>
      <c r="AQ47" s="35">
        <f t="shared" si="15"/>
        <v>0</v>
      </c>
      <c r="AR47" s="40"/>
      <c r="AS47" s="17">
        <v>0</v>
      </c>
      <c r="AT47" s="17"/>
      <c r="AU47" s="17">
        <v>0</v>
      </c>
      <c r="AV47" s="17"/>
      <c r="AW47" s="35">
        <f t="shared" si="16"/>
        <v>0</v>
      </c>
      <c r="AX47" s="17"/>
      <c r="AY47" s="81" t="s">
        <v>42</v>
      </c>
      <c r="AZ47" s="17"/>
      <c r="BA47" s="35">
        <v>0</v>
      </c>
      <c r="BB47" s="17"/>
      <c r="BC47" s="35">
        <v>0</v>
      </c>
      <c r="BD47" s="17"/>
      <c r="BE47" s="35">
        <v>0</v>
      </c>
      <c r="BF47" s="17"/>
      <c r="BG47" s="35">
        <v>0</v>
      </c>
      <c r="BH47" s="17"/>
      <c r="BI47" s="17"/>
      <c r="BJ47" s="17"/>
      <c r="BK47" s="35">
        <f t="shared" si="17"/>
        <v>0</v>
      </c>
      <c r="BL47" s="79"/>
    </row>
    <row r="48" spans="1:64" ht="12.75">
      <c r="A48" s="77" t="s">
        <v>42</v>
      </c>
      <c r="B48" s="77"/>
      <c r="C48" s="35">
        <f t="shared" si="9"/>
        <v>75011</v>
      </c>
      <c r="D48" s="35"/>
      <c r="E48" s="35">
        <v>1480653</v>
      </c>
      <c r="F48" s="35"/>
      <c r="G48" s="35">
        <v>1555664</v>
      </c>
      <c r="H48" s="35"/>
      <c r="I48" s="35">
        <f t="shared" si="10"/>
        <v>498500</v>
      </c>
      <c r="J48" s="35"/>
      <c r="K48" s="35">
        <f t="shared" si="11"/>
        <v>0</v>
      </c>
      <c r="L48" s="35"/>
      <c r="M48" s="35">
        <v>498500</v>
      </c>
      <c r="N48" s="35"/>
      <c r="O48" s="35">
        <v>988953</v>
      </c>
      <c r="P48" s="35"/>
      <c r="Q48" s="35">
        <v>0</v>
      </c>
      <c r="R48" s="35"/>
      <c r="S48" s="35">
        <v>68211</v>
      </c>
      <c r="T48" s="35"/>
      <c r="U48" s="35">
        <f t="shared" si="12"/>
        <v>1057164</v>
      </c>
      <c r="V48" s="35"/>
      <c r="W48" s="35">
        <f t="shared" si="13"/>
        <v>0</v>
      </c>
      <c r="X48" s="35"/>
      <c r="Y48" s="81" t="s">
        <v>42</v>
      </c>
      <c r="Z48" s="35"/>
      <c r="AA48" s="35">
        <v>168394</v>
      </c>
      <c r="AB48" s="17"/>
      <c r="AC48" s="35">
        <f>3077+12636+35869+8029+720+10353</f>
        <v>70684</v>
      </c>
      <c r="AD48" s="17"/>
      <c r="AE48" s="35">
        <v>57567</v>
      </c>
      <c r="AF48" s="17"/>
      <c r="AG48" s="35">
        <f t="shared" si="14"/>
        <v>40143</v>
      </c>
      <c r="AH48" s="40"/>
      <c r="AI48" s="35">
        <v>-25179</v>
      </c>
      <c r="AJ48" s="40"/>
      <c r="AK48" s="35">
        <v>0</v>
      </c>
      <c r="AL48" s="17"/>
      <c r="AM48" s="35">
        <v>33479</v>
      </c>
      <c r="AN48" s="17"/>
      <c r="AO48" s="35">
        <v>10949</v>
      </c>
      <c r="AP48" s="17"/>
      <c r="AQ48" s="35">
        <f t="shared" si="15"/>
        <v>-7566</v>
      </c>
      <c r="AR48" s="40"/>
      <c r="AS48" s="17">
        <v>0</v>
      </c>
      <c r="AT48" s="17"/>
      <c r="AU48" s="17">
        <v>0</v>
      </c>
      <c r="AV48" s="17"/>
      <c r="AW48" s="35">
        <f t="shared" si="16"/>
        <v>-423489</v>
      </c>
      <c r="AX48" s="17"/>
      <c r="AY48" s="81" t="s">
        <v>42</v>
      </c>
      <c r="AZ48" s="17"/>
      <c r="BA48" s="35">
        <v>0</v>
      </c>
      <c r="BB48" s="17"/>
      <c r="BC48" s="35">
        <v>0</v>
      </c>
      <c r="BD48" s="17"/>
      <c r="BE48" s="35">
        <v>0</v>
      </c>
      <c r="BF48" s="17"/>
      <c r="BG48" s="35">
        <v>0</v>
      </c>
      <c r="BH48" s="17"/>
      <c r="BI48" s="17"/>
      <c r="BJ48" s="17"/>
      <c r="BK48" s="35">
        <f t="shared" si="17"/>
        <v>0</v>
      </c>
      <c r="BL48" s="79"/>
    </row>
    <row r="49" spans="1:64" ht="12.75">
      <c r="A49" s="77" t="s">
        <v>43</v>
      </c>
      <c r="B49" s="77"/>
      <c r="C49" s="35">
        <f t="shared" si="9"/>
        <v>1069611</v>
      </c>
      <c r="D49" s="35"/>
      <c r="E49" s="35">
        <v>5191742</v>
      </c>
      <c r="F49" s="35"/>
      <c r="G49" s="35">
        <v>6261353</v>
      </c>
      <c r="H49" s="35"/>
      <c r="I49" s="35">
        <f>M49-K49</f>
        <v>188258</v>
      </c>
      <c r="J49" s="35"/>
      <c r="K49" s="35">
        <f t="shared" si="11"/>
        <v>2690996</v>
      </c>
      <c r="L49" s="35"/>
      <c r="M49" s="35">
        <v>2879254</v>
      </c>
      <c r="N49" s="35"/>
      <c r="O49" s="35">
        <v>2445571</v>
      </c>
      <c r="P49" s="35"/>
      <c r="Q49" s="35">
        <v>0</v>
      </c>
      <c r="R49" s="35"/>
      <c r="S49" s="35">
        <v>936528</v>
      </c>
      <c r="T49" s="35"/>
      <c r="U49" s="35">
        <f t="shared" si="12"/>
        <v>3382099</v>
      </c>
      <c r="V49" s="35"/>
      <c r="W49" s="35">
        <f t="shared" si="13"/>
        <v>0</v>
      </c>
      <c r="X49" s="35"/>
      <c r="Y49" s="81" t="s">
        <v>43</v>
      </c>
      <c r="Z49" s="35"/>
      <c r="AA49" s="35">
        <v>656874</v>
      </c>
      <c r="AB49" s="17"/>
      <c r="AC49" s="35">
        <f>209002+119589+14396</f>
        <v>342987</v>
      </c>
      <c r="AD49" s="17"/>
      <c r="AE49" s="35">
        <v>224312</v>
      </c>
      <c r="AF49" s="17"/>
      <c r="AG49" s="35">
        <f t="shared" si="14"/>
        <v>89575</v>
      </c>
      <c r="AH49" s="40"/>
      <c r="AI49" s="35">
        <v>-17780</v>
      </c>
      <c r="AJ49" s="40"/>
      <c r="AK49" s="35">
        <v>0</v>
      </c>
      <c r="AL49" s="17"/>
      <c r="AM49" s="35">
        <v>0</v>
      </c>
      <c r="AN49" s="17"/>
      <c r="AO49" s="35">
        <v>0</v>
      </c>
      <c r="AP49" s="17"/>
      <c r="AQ49" s="35">
        <f t="shared" si="15"/>
        <v>71795</v>
      </c>
      <c r="AR49" s="40"/>
      <c r="AS49" s="17">
        <v>0</v>
      </c>
      <c r="AT49" s="17"/>
      <c r="AU49" s="17">
        <v>0</v>
      </c>
      <c r="AV49" s="17"/>
      <c r="AW49" s="35">
        <f t="shared" si="16"/>
        <v>881353</v>
      </c>
      <c r="AX49" s="17"/>
      <c r="AY49" s="81" t="s">
        <v>43</v>
      </c>
      <c r="AZ49" s="17"/>
      <c r="BA49" s="35">
        <v>0</v>
      </c>
      <c r="BB49" s="17"/>
      <c r="BC49" s="35">
        <f>2493500-40000</f>
        <v>2453500</v>
      </c>
      <c r="BD49" s="17"/>
      <c r="BE49" s="35">
        <f>247637-15175</f>
        <v>232462</v>
      </c>
      <c r="BF49" s="17"/>
      <c r="BG49" s="35">
        <v>5034</v>
      </c>
      <c r="BH49" s="17"/>
      <c r="BI49" s="17"/>
      <c r="BJ49" s="17"/>
      <c r="BK49" s="35">
        <f t="shared" si="17"/>
        <v>2690996</v>
      </c>
      <c r="BL49" s="79"/>
    </row>
    <row r="50" spans="1:65" ht="12.75" hidden="1">
      <c r="A50" s="77" t="s">
        <v>44</v>
      </c>
      <c r="B50" s="77"/>
      <c r="C50" s="35">
        <f t="shared" si="9"/>
        <v>0</v>
      </c>
      <c r="D50" s="35"/>
      <c r="E50" s="35">
        <v>0</v>
      </c>
      <c r="F50" s="35"/>
      <c r="G50" s="35">
        <v>0</v>
      </c>
      <c r="H50" s="35"/>
      <c r="I50" s="35">
        <f t="shared" si="10"/>
        <v>0</v>
      </c>
      <c r="J50" s="35"/>
      <c r="K50" s="35">
        <f t="shared" si="11"/>
        <v>0</v>
      </c>
      <c r="L50" s="35"/>
      <c r="M50" s="35">
        <v>0</v>
      </c>
      <c r="N50" s="35"/>
      <c r="O50" s="35">
        <v>0</v>
      </c>
      <c r="P50" s="35"/>
      <c r="Q50" s="35">
        <v>0</v>
      </c>
      <c r="R50" s="35"/>
      <c r="S50" s="35">
        <v>0</v>
      </c>
      <c r="T50" s="35"/>
      <c r="U50" s="35">
        <f t="shared" si="12"/>
        <v>0</v>
      </c>
      <c r="V50" s="35"/>
      <c r="W50" s="35">
        <f t="shared" si="13"/>
        <v>0</v>
      </c>
      <c r="X50" s="35"/>
      <c r="Y50" s="81" t="s">
        <v>44</v>
      </c>
      <c r="Z50" s="35"/>
      <c r="AA50" s="35">
        <v>0</v>
      </c>
      <c r="AB50" s="17"/>
      <c r="AC50" s="35">
        <v>0</v>
      </c>
      <c r="AD50" s="17"/>
      <c r="AE50" s="35">
        <v>0</v>
      </c>
      <c r="AF50" s="17"/>
      <c r="AG50" s="35">
        <f t="shared" si="14"/>
        <v>0</v>
      </c>
      <c r="AH50" s="40"/>
      <c r="AI50" s="35">
        <v>0</v>
      </c>
      <c r="AJ50" s="40"/>
      <c r="AK50" s="35">
        <v>0</v>
      </c>
      <c r="AL50" s="17"/>
      <c r="AM50" s="35">
        <v>0</v>
      </c>
      <c r="AN50" s="17"/>
      <c r="AO50" s="35">
        <v>0</v>
      </c>
      <c r="AP50" s="17"/>
      <c r="AQ50" s="35">
        <f t="shared" si="15"/>
        <v>0</v>
      </c>
      <c r="AR50" s="40"/>
      <c r="AS50" s="17">
        <v>0</v>
      </c>
      <c r="AT50" s="17"/>
      <c r="AU50" s="17">
        <v>0</v>
      </c>
      <c r="AV50" s="17"/>
      <c r="AW50" s="35">
        <f t="shared" si="16"/>
        <v>0</v>
      </c>
      <c r="AX50" s="35"/>
      <c r="AY50" s="81" t="s">
        <v>44</v>
      </c>
      <c r="AZ50" s="35"/>
      <c r="BA50" s="35">
        <v>0</v>
      </c>
      <c r="BB50" s="17"/>
      <c r="BC50" s="35">
        <v>0</v>
      </c>
      <c r="BD50" s="17"/>
      <c r="BE50" s="35">
        <v>0</v>
      </c>
      <c r="BF50" s="17"/>
      <c r="BG50" s="35">
        <v>0</v>
      </c>
      <c r="BH50" s="17"/>
      <c r="BI50" s="17"/>
      <c r="BJ50" s="17"/>
      <c r="BK50" s="35">
        <f t="shared" si="17"/>
        <v>0</v>
      </c>
      <c r="BL50" s="79"/>
      <c r="BM50" s="79"/>
    </row>
    <row r="51" spans="1:64" ht="12.75" hidden="1">
      <c r="A51" s="77" t="s">
        <v>241</v>
      </c>
      <c r="B51" s="77"/>
      <c r="C51" s="35">
        <f t="shared" si="9"/>
        <v>0</v>
      </c>
      <c r="D51" s="35"/>
      <c r="E51" s="35">
        <v>0</v>
      </c>
      <c r="F51" s="35"/>
      <c r="G51" s="35">
        <v>0</v>
      </c>
      <c r="H51" s="35"/>
      <c r="I51" s="35">
        <f t="shared" si="10"/>
        <v>0</v>
      </c>
      <c r="J51" s="35"/>
      <c r="K51" s="35">
        <f t="shared" si="11"/>
        <v>0</v>
      </c>
      <c r="L51" s="35"/>
      <c r="M51" s="35">
        <v>0</v>
      </c>
      <c r="N51" s="35"/>
      <c r="O51" s="35">
        <v>0</v>
      </c>
      <c r="P51" s="35"/>
      <c r="Q51" s="35">
        <v>0</v>
      </c>
      <c r="R51" s="35"/>
      <c r="S51" s="35">
        <v>0</v>
      </c>
      <c r="T51" s="35"/>
      <c r="U51" s="35">
        <f t="shared" si="12"/>
        <v>0</v>
      </c>
      <c r="V51" s="35"/>
      <c r="W51" s="35">
        <f t="shared" si="13"/>
        <v>0</v>
      </c>
      <c r="X51" s="35"/>
      <c r="Y51" s="81" t="s">
        <v>45</v>
      </c>
      <c r="Z51" s="35"/>
      <c r="AA51" s="35">
        <v>0</v>
      </c>
      <c r="AB51" s="17"/>
      <c r="AC51" s="35">
        <v>0</v>
      </c>
      <c r="AD51" s="17"/>
      <c r="AE51" s="35">
        <v>0</v>
      </c>
      <c r="AF51" s="17"/>
      <c r="AG51" s="35">
        <f t="shared" si="14"/>
        <v>0</v>
      </c>
      <c r="AH51" s="40"/>
      <c r="AI51" s="35">
        <v>0</v>
      </c>
      <c r="AJ51" s="40"/>
      <c r="AK51" s="35">
        <v>0</v>
      </c>
      <c r="AL51" s="17"/>
      <c r="AM51" s="35">
        <v>0</v>
      </c>
      <c r="AN51" s="17"/>
      <c r="AO51" s="35">
        <v>0</v>
      </c>
      <c r="AP51" s="17"/>
      <c r="AQ51" s="35">
        <f t="shared" si="15"/>
        <v>0</v>
      </c>
      <c r="AR51" s="40"/>
      <c r="AS51" s="17">
        <v>0</v>
      </c>
      <c r="AT51" s="17"/>
      <c r="AU51" s="17">
        <v>0</v>
      </c>
      <c r="AV51" s="17"/>
      <c r="AW51" s="35">
        <f t="shared" si="16"/>
        <v>0</v>
      </c>
      <c r="AX51" s="17"/>
      <c r="AY51" s="81" t="s">
        <v>45</v>
      </c>
      <c r="AZ51" s="17"/>
      <c r="BA51" s="35">
        <v>0</v>
      </c>
      <c r="BB51" s="17"/>
      <c r="BC51" s="35">
        <v>0</v>
      </c>
      <c r="BD51" s="17"/>
      <c r="BE51" s="35">
        <v>0</v>
      </c>
      <c r="BF51" s="17"/>
      <c r="BG51" s="35">
        <v>0</v>
      </c>
      <c r="BH51" s="17"/>
      <c r="BI51" s="17"/>
      <c r="BJ51" s="17"/>
      <c r="BK51" s="35">
        <f t="shared" si="17"/>
        <v>0</v>
      </c>
      <c r="BL51" s="79"/>
    </row>
    <row r="52" spans="1:64" ht="12.75">
      <c r="A52" s="77" t="s">
        <v>46</v>
      </c>
      <c r="B52" s="77"/>
      <c r="C52" s="35">
        <f t="shared" si="9"/>
        <v>702311</v>
      </c>
      <c r="D52" s="35"/>
      <c r="E52" s="35">
        <v>14404515</v>
      </c>
      <c r="F52" s="35"/>
      <c r="G52" s="35">
        <v>15106826</v>
      </c>
      <c r="H52" s="35"/>
      <c r="I52" s="35">
        <f t="shared" si="10"/>
        <v>1366616</v>
      </c>
      <c r="J52" s="35"/>
      <c r="K52" s="35">
        <f t="shared" si="11"/>
        <v>2817670</v>
      </c>
      <c r="L52" s="35"/>
      <c r="M52" s="35">
        <v>4184286</v>
      </c>
      <c r="N52" s="35"/>
      <c r="O52" s="35">
        <v>10026678</v>
      </c>
      <c r="P52" s="35"/>
      <c r="Q52" s="35">
        <v>273937</v>
      </c>
      <c r="R52" s="35"/>
      <c r="S52" s="35">
        <v>621925</v>
      </c>
      <c r="T52" s="35"/>
      <c r="U52" s="35">
        <f t="shared" si="12"/>
        <v>10922540</v>
      </c>
      <c r="V52" s="35"/>
      <c r="W52" s="35">
        <f t="shared" si="13"/>
        <v>0</v>
      </c>
      <c r="X52" s="35"/>
      <c r="Y52" s="81" t="s">
        <v>46</v>
      </c>
      <c r="Z52" s="35"/>
      <c r="AA52" s="35">
        <v>919066</v>
      </c>
      <c r="AB52" s="17"/>
      <c r="AC52" s="35">
        <f>194614+413145+11114</f>
        <v>618873</v>
      </c>
      <c r="AD52" s="17"/>
      <c r="AE52" s="35">
        <v>626348</v>
      </c>
      <c r="AF52" s="17"/>
      <c r="AG52" s="35">
        <f t="shared" si="14"/>
        <v>-326155</v>
      </c>
      <c r="AH52" s="40"/>
      <c r="AI52" s="35">
        <v>-110395</v>
      </c>
      <c r="AJ52" s="40"/>
      <c r="AK52" s="35">
        <v>0</v>
      </c>
      <c r="AL52" s="17"/>
      <c r="AM52" s="35">
        <v>0</v>
      </c>
      <c r="AN52" s="17"/>
      <c r="AO52" s="35">
        <v>2700</v>
      </c>
      <c r="AP52" s="17"/>
      <c r="AQ52" s="35">
        <f t="shared" si="15"/>
        <v>-433850</v>
      </c>
      <c r="AR52" s="40"/>
      <c r="AS52" s="17">
        <v>0</v>
      </c>
      <c r="AT52" s="17"/>
      <c r="AU52" s="17">
        <v>0</v>
      </c>
      <c r="AV52" s="17"/>
      <c r="AW52" s="35">
        <f t="shared" si="16"/>
        <v>-664305</v>
      </c>
      <c r="AX52" s="17"/>
      <c r="AY52" s="81" t="s">
        <v>46</v>
      </c>
      <c r="AZ52" s="17"/>
      <c r="BA52" s="35">
        <v>1710777</v>
      </c>
      <c r="BB52" s="17"/>
      <c r="BC52" s="35">
        <v>0</v>
      </c>
      <c r="BD52" s="17"/>
      <c r="BE52" s="35">
        <f>227812+867432</f>
        <v>1095244</v>
      </c>
      <c r="BF52" s="17"/>
      <c r="BG52" s="35">
        <v>11649</v>
      </c>
      <c r="BH52" s="17"/>
      <c r="BI52" s="17"/>
      <c r="BJ52" s="17"/>
      <c r="BK52" s="35">
        <f t="shared" si="17"/>
        <v>2817670</v>
      </c>
      <c r="BL52" s="79"/>
    </row>
    <row r="53" spans="1:64" ht="12.75">
      <c r="A53" s="77" t="s">
        <v>47</v>
      </c>
      <c r="B53" s="77"/>
      <c r="C53" s="35">
        <f t="shared" si="9"/>
        <v>2425516</v>
      </c>
      <c r="D53" s="35"/>
      <c r="E53" s="35">
        <v>2949425</v>
      </c>
      <c r="F53" s="35"/>
      <c r="G53" s="35">
        <v>5374941</v>
      </c>
      <c r="H53" s="35"/>
      <c r="I53" s="35">
        <f t="shared" si="10"/>
        <v>57866</v>
      </c>
      <c r="J53" s="35"/>
      <c r="K53" s="35">
        <f t="shared" si="11"/>
        <v>73261</v>
      </c>
      <c r="L53" s="35"/>
      <c r="M53" s="35">
        <v>131127</v>
      </c>
      <c r="N53" s="35"/>
      <c r="O53" s="35">
        <v>2884963</v>
      </c>
      <c r="P53" s="35"/>
      <c r="Q53" s="35">
        <v>0</v>
      </c>
      <c r="R53" s="35"/>
      <c r="S53" s="35">
        <v>2358851</v>
      </c>
      <c r="T53" s="35"/>
      <c r="U53" s="35">
        <f t="shared" si="12"/>
        <v>5243814</v>
      </c>
      <c r="V53" s="35"/>
      <c r="W53" s="35">
        <f t="shared" si="13"/>
        <v>0</v>
      </c>
      <c r="X53" s="35"/>
      <c r="Y53" s="81" t="s">
        <v>47</v>
      </c>
      <c r="Z53" s="35"/>
      <c r="AA53" s="35">
        <v>1298431</v>
      </c>
      <c r="AB53" s="17"/>
      <c r="AC53" s="35">
        <f>586811+180993+111749+32193</f>
        <v>911746</v>
      </c>
      <c r="AD53" s="17"/>
      <c r="AE53" s="35">
        <v>119982</v>
      </c>
      <c r="AF53" s="17"/>
      <c r="AG53" s="35">
        <f t="shared" si="14"/>
        <v>266703</v>
      </c>
      <c r="AH53" s="40"/>
      <c r="AI53" s="35">
        <v>90061</v>
      </c>
      <c r="AJ53" s="40"/>
      <c r="AK53" s="35">
        <v>0</v>
      </c>
      <c r="AL53" s="17"/>
      <c r="AM53" s="35">
        <v>93739</v>
      </c>
      <c r="AN53" s="17"/>
      <c r="AO53" s="35">
        <v>56368</v>
      </c>
      <c r="AP53" s="17"/>
      <c r="AQ53" s="35">
        <f t="shared" si="15"/>
        <v>319393</v>
      </c>
      <c r="AR53" s="40"/>
      <c r="AS53" s="17">
        <v>0</v>
      </c>
      <c r="AT53" s="17"/>
      <c r="AU53" s="17">
        <v>0</v>
      </c>
      <c r="AV53" s="17"/>
      <c r="AW53" s="35">
        <f t="shared" si="16"/>
        <v>2367650</v>
      </c>
      <c r="AX53" s="17"/>
      <c r="AY53" s="81" t="s">
        <v>47</v>
      </c>
      <c r="AZ53" s="17"/>
      <c r="BA53" s="35">
        <v>0</v>
      </c>
      <c r="BB53" s="17"/>
      <c r="BC53" s="35">
        <v>0</v>
      </c>
      <c r="BD53" s="17"/>
      <c r="BE53" s="35">
        <f>64462-2359</f>
        <v>62103</v>
      </c>
      <c r="BF53" s="17"/>
      <c r="BG53" s="35">
        <f>23154-11996</f>
        <v>11158</v>
      </c>
      <c r="BH53" s="17"/>
      <c r="BI53" s="17"/>
      <c r="BJ53" s="17"/>
      <c r="BK53" s="35">
        <f t="shared" si="17"/>
        <v>73261</v>
      </c>
      <c r="BL53" s="83"/>
    </row>
    <row r="54" spans="1:64" ht="12.75">
      <c r="A54" s="77" t="s">
        <v>48</v>
      </c>
      <c r="B54" s="77"/>
      <c r="C54" s="35">
        <f t="shared" si="9"/>
        <v>15568806</v>
      </c>
      <c r="D54" s="35"/>
      <c r="E54" s="35">
        <v>122192503</v>
      </c>
      <c r="F54" s="35"/>
      <c r="G54" s="35">
        <v>137761309</v>
      </c>
      <c r="H54" s="35"/>
      <c r="I54" s="35">
        <f t="shared" si="10"/>
        <v>6820054</v>
      </c>
      <c r="J54" s="35"/>
      <c r="K54" s="35">
        <f t="shared" si="11"/>
        <v>29794293</v>
      </c>
      <c r="L54" s="35"/>
      <c r="M54" s="35">
        <v>36614347</v>
      </c>
      <c r="N54" s="35"/>
      <c r="O54" s="35">
        <v>88165988</v>
      </c>
      <c r="P54" s="35"/>
      <c r="Q54" s="35">
        <v>0</v>
      </c>
      <c r="R54" s="35"/>
      <c r="S54" s="35">
        <v>12980974</v>
      </c>
      <c r="T54" s="35"/>
      <c r="U54" s="35">
        <f t="shared" si="12"/>
        <v>101146962</v>
      </c>
      <c r="V54" s="35"/>
      <c r="W54" s="35">
        <f t="shared" si="13"/>
        <v>0</v>
      </c>
      <c r="X54" s="35"/>
      <c r="Y54" s="81" t="s">
        <v>48</v>
      </c>
      <c r="Z54" s="35"/>
      <c r="AA54" s="35">
        <v>15980941</v>
      </c>
      <c r="AB54" s="17"/>
      <c r="AC54" s="35">
        <f>15115094-5057372</f>
        <v>10057722</v>
      </c>
      <c r="AD54" s="17"/>
      <c r="AE54" s="35">
        <v>5057372</v>
      </c>
      <c r="AF54" s="17"/>
      <c r="AG54" s="35">
        <f t="shared" si="14"/>
        <v>865847</v>
      </c>
      <c r="AH54" s="40"/>
      <c r="AI54" s="35">
        <v>-1500661</v>
      </c>
      <c r="AJ54" s="40"/>
      <c r="AK54" s="35">
        <v>0</v>
      </c>
      <c r="AL54" s="17"/>
      <c r="AM54" s="35">
        <v>0</v>
      </c>
      <c r="AN54" s="17"/>
      <c r="AO54" s="35">
        <f>1903538+29037</f>
        <v>1932575</v>
      </c>
      <c r="AP54" s="17"/>
      <c r="AQ54" s="35">
        <f t="shared" si="15"/>
        <v>1297761</v>
      </c>
      <c r="AR54" s="40"/>
      <c r="AS54" s="17">
        <v>0</v>
      </c>
      <c r="AT54" s="17"/>
      <c r="AU54" s="17">
        <v>0</v>
      </c>
      <c r="AV54" s="17"/>
      <c r="AW54" s="35">
        <f t="shared" si="16"/>
        <v>8748752</v>
      </c>
      <c r="AX54" s="17"/>
      <c r="AY54" s="81" t="s">
        <v>48</v>
      </c>
      <c r="AZ54" s="17"/>
      <c r="BA54" s="35">
        <v>1350950</v>
      </c>
      <c r="BB54" s="17"/>
      <c r="BC54" s="35">
        <v>0</v>
      </c>
      <c r="BD54" s="17"/>
      <c r="BE54" s="35">
        <v>27137615</v>
      </c>
      <c r="BF54" s="17"/>
      <c r="BG54" s="35">
        <f>880376+425352</f>
        <v>1305728</v>
      </c>
      <c r="BH54" s="17"/>
      <c r="BI54" s="17"/>
      <c r="BJ54" s="17"/>
      <c r="BK54" s="35">
        <f t="shared" si="17"/>
        <v>29794293</v>
      </c>
      <c r="BL54" s="79"/>
    </row>
    <row r="55" spans="1:64" ht="12.75" hidden="1">
      <c r="A55" s="77" t="s">
        <v>170</v>
      </c>
      <c r="B55" s="77"/>
      <c r="C55" s="35">
        <f t="shared" si="9"/>
        <v>0</v>
      </c>
      <c r="D55" s="35"/>
      <c r="E55" s="35">
        <v>0</v>
      </c>
      <c r="F55" s="35"/>
      <c r="G55" s="35">
        <v>0</v>
      </c>
      <c r="H55" s="35"/>
      <c r="I55" s="35">
        <f t="shared" si="10"/>
        <v>0</v>
      </c>
      <c r="J55" s="35"/>
      <c r="K55" s="35">
        <f t="shared" si="11"/>
        <v>0</v>
      </c>
      <c r="L55" s="35"/>
      <c r="M55" s="35">
        <v>0</v>
      </c>
      <c r="N55" s="35"/>
      <c r="O55" s="35">
        <v>0</v>
      </c>
      <c r="P55" s="35"/>
      <c r="Q55" s="35">
        <v>0</v>
      </c>
      <c r="R55" s="35"/>
      <c r="S55" s="35">
        <v>0</v>
      </c>
      <c r="T55" s="35"/>
      <c r="U55" s="35">
        <f t="shared" si="12"/>
        <v>0</v>
      </c>
      <c r="V55" s="35"/>
      <c r="W55" s="35">
        <f t="shared" si="13"/>
        <v>0</v>
      </c>
      <c r="X55" s="35"/>
      <c r="Y55" s="81" t="s">
        <v>170</v>
      </c>
      <c r="Z55" s="35"/>
      <c r="AA55" s="35">
        <v>0</v>
      </c>
      <c r="AB55" s="17"/>
      <c r="AC55" s="35">
        <v>0</v>
      </c>
      <c r="AD55" s="17"/>
      <c r="AE55" s="35">
        <v>0</v>
      </c>
      <c r="AF55" s="17"/>
      <c r="AG55" s="35">
        <f t="shared" si="14"/>
        <v>0</v>
      </c>
      <c r="AH55" s="40"/>
      <c r="AI55" s="35">
        <v>0</v>
      </c>
      <c r="AJ55" s="40"/>
      <c r="AK55" s="35">
        <v>0</v>
      </c>
      <c r="AL55" s="17"/>
      <c r="AM55" s="35">
        <v>0</v>
      </c>
      <c r="AN55" s="17"/>
      <c r="AO55" s="35">
        <v>0</v>
      </c>
      <c r="AP55" s="17"/>
      <c r="AQ55" s="35">
        <f t="shared" si="15"/>
        <v>0</v>
      </c>
      <c r="AR55" s="40"/>
      <c r="AS55" s="17">
        <v>0</v>
      </c>
      <c r="AT55" s="17"/>
      <c r="AU55" s="17">
        <v>0</v>
      </c>
      <c r="AV55" s="17"/>
      <c r="AW55" s="35">
        <f t="shared" si="16"/>
        <v>0</v>
      </c>
      <c r="AX55" s="17"/>
      <c r="AY55" s="81" t="s">
        <v>170</v>
      </c>
      <c r="AZ55" s="17"/>
      <c r="BA55" s="35">
        <v>0</v>
      </c>
      <c r="BB55" s="17"/>
      <c r="BC55" s="35">
        <v>0</v>
      </c>
      <c r="BD55" s="17"/>
      <c r="BE55" s="35">
        <v>0</v>
      </c>
      <c r="BF55" s="17"/>
      <c r="BG55" s="35">
        <v>0</v>
      </c>
      <c r="BH55" s="17"/>
      <c r="BI55" s="17"/>
      <c r="BJ55" s="17"/>
      <c r="BK55" s="35">
        <f t="shared" si="17"/>
        <v>0</v>
      </c>
      <c r="BL55" s="79"/>
    </row>
    <row r="56" spans="1:64" ht="12.75">
      <c r="A56" s="77" t="s">
        <v>49</v>
      </c>
      <c r="B56" s="77"/>
      <c r="C56" s="35">
        <f t="shared" si="9"/>
        <v>5436905</v>
      </c>
      <c r="D56" s="35"/>
      <c r="E56" s="35">
        <v>16581089</v>
      </c>
      <c r="F56" s="35"/>
      <c r="G56" s="35">
        <v>22017994</v>
      </c>
      <c r="H56" s="35"/>
      <c r="I56" s="35">
        <f t="shared" si="10"/>
        <v>11495683</v>
      </c>
      <c r="J56" s="35"/>
      <c r="K56" s="35">
        <f t="shared" si="11"/>
        <v>26339</v>
      </c>
      <c r="L56" s="35"/>
      <c r="M56" s="35">
        <v>11522022</v>
      </c>
      <c r="N56" s="35"/>
      <c r="O56" s="35">
        <v>7185643</v>
      </c>
      <c r="P56" s="35"/>
      <c r="Q56" s="35">
        <v>0</v>
      </c>
      <c r="R56" s="35"/>
      <c r="S56" s="35">
        <v>3310329</v>
      </c>
      <c r="T56" s="35"/>
      <c r="U56" s="35">
        <f t="shared" si="12"/>
        <v>10495972</v>
      </c>
      <c r="V56" s="35"/>
      <c r="W56" s="35">
        <f t="shared" si="13"/>
        <v>0</v>
      </c>
      <c r="X56" s="35"/>
      <c r="Y56" s="81" t="s">
        <v>49</v>
      </c>
      <c r="Z56" s="35"/>
      <c r="AA56" s="35">
        <v>2220742</v>
      </c>
      <c r="AB56" s="17"/>
      <c r="AC56" s="35">
        <f>1829309-313969</f>
        <v>1515340</v>
      </c>
      <c r="AD56" s="17"/>
      <c r="AE56" s="35">
        <v>313969</v>
      </c>
      <c r="AF56" s="17"/>
      <c r="AG56" s="35">
        <f t="shared" si="14"/>
        <v>391433</v>
      </c>
      <c r="AH56" s="40"/>
      <c r="AI56" s="35">
        <v>-308220</v>
      </c>
      <c r="AJ56" s="40"/>
      <c r="AK56" s="35">
        <v>0</v>
      </c>
      <c r="AL56" s="17"/>
      <c r="AM56" s="35">
        <v>109655</v>
      </c>
      <c r="AN56" s="17"/>
      <c r="AO56" s="35">
        <v>0</v>
      </c>
      <c r="AP56" s="17"/>
      <c r="AQ56" s="35">
        <f t="shared" si="15"/>
        <v>-26442</v>
      </c>
      <c r="AR56" s="40"/>
      <c r="AS56" s="17">
        <v>0</v>
      </c>
      <c r="AT56" s="17"/>
      <c r="AU56" s="17">
        <v>0</v>
      </c>
      <c r="AV56" s="17"/>
      <c r="AW56" s="35">
        <f t="shared" si="16"/>
        <v>-6058778</v>
      </c>
      <c r="AX56" s="17"/>
      <c r="AY56" s="81" t="s">
        <v>49</v>
      </c>
      <c r="AZ56" s="17"/>
      <c r="BA56" s="35">
        <v>0</v>
      </c>
      <c r="BB56" s="17"/>
      <c r="BC56" s="35">
        <v>0</v>
      </c>
      <c r="BD56" s="17"/>
      <c r="BE56" s="35">
        <v>0</v>
      </c>
      <c r="BF56" s="17"/>
      <c r="BG56" s="35">
        <v>26339</v>
      </c>
      <c r="BH56" s="17"/>
      <c r="BI56" s="17"/>
      <c r="BJ56" s="17"/>
      <c r="BK56" s="35">
        <f t="shared" si="17"/>
        <v>26339</v>
      </c>
      <c r="BL56" s="79"/>
    </row>
    <row r="57" spans="1:64" ht="12.75" hidden="1">
      <c r="A57" s="77" t="s">
        <v>50</v>
      </c>
      <c r="B57" s="77"/>
      <c r="C57" s="35">
        <f t="shared" si="9"/>
        <v>0</v>
      </c>
      <c r="D57" s="35"/>
      <c r="E57" s="35">
        <v>0</v>
      </c>
      <c r="F57" s="35"/>
      <c r="G57" s="35">
        <v>0</v>
      </c>
      <c r="H57" s="35"/>
      <c r="I57" s="35">
        <f t="shared" si="10"/>
        <v>0</v>
      </c>
      <c r="J57" s="35"/>
      <c r="K57" s="35">
        <f t="shared" si="11"/>
        <v>0</v>
      </c>
      <c r="L57" s="35"/>
      <c r="M57" s="35">
        <v>0</v>
      </c>
      <c r="N57" s="35"/>
      <c r="O57" s="35">
        <v>0</v>
      </c>
      <c r="P57" s="35"/>
      <c r="Q57" s="35">
        <v>0</v>
      </c>
      <c r="R57" s="35"/>
      <c r="S57" s="35">
        <v>0</v>
      </c>
      <c r="T57" s="35"/>
      <c r="U57" s="35">
        <f t="shared" si="12"/>
        <v>0</v>
      </c>
      <c r="V57" s="35"/>
      <c r="W57" s="35">
        <f t="shared" si="13"/>
        <v>0</v>
      </c>
      <c r="X57" s="35"/>
      <c r="Y57" s="81" t="s">
        <v>50</v>
      </c>
      <c r="Z57" s="35"/>
      <c r="AA57" s="35">
        <v>0</v>
      </c>
      <c r="AB57" s="17"/>
      <c r="AC57" s="35">
        <v>0</v>
      </c>
      <c r="AD57" s="17"/>
      <c r="AE57" s="35">
        <v>0</v>
      </c>
      <c r="AF57" s="17"/>
      <c r="AG57" s="35">
        <f t="shared" si="14"/>
        <v>0</v>
      </c>
      <c r="AH57" s="40"/>
      <c r="AI57" s="35">
        <v>0</v>
      </c>
      <c r="AJ57" s="40"/>
      <c r="AK57" s="35">
        <v>0</v>
      </c>
      <c r="AL57" s="17"/>
      <c r="AM57" s="35">
        <v>0</v>
      </c>
      <c r="AN57" s="17"/>
      <c r="AO57" s="35">
        <v>0</v>
      </c>
      <c r="AP57" s="17"/>
      <c r="AQ57" s="35">
        <f t="shared" si="15"/>
        <v>0</v>
      </c>
      <c r="AR57" s="40"/>
      <c r="AS57" s="17">
        <v>0</v>
      </c>
      <c r="AT57" s="17"/>
      <c r="AU57" s="17">
        <v>0</v>
      </c>
      <c r="AV57" s="17"/>
      <c r="AW57" s="35">
        <f t="shared" si="16"/>
        <v>0</v>
      </c>
      <c r="AX57" s="17"/>
      <c r="AY57" s="81" t="s">
        <v>50</v>
      </c>
      <c r="AZ57" s="17"/>
      <c r="BA57" s="35">
        <v>0</v>
      </c>
      <c r="BB57" s="17"/>
      <c r="BC57" s="35">
        <v>0</v>
      </c>
      <c r="BD57" s="17"/>
      <c r="BE57" s="35">
        <v>0</v>
      </c>
      <c r="BF57" s="17"/>
      <c r="BG57" s="35">
        <v>0</v>
      </c>
      <c r="BH57" s="17"/>
      <c r="BI57" s="17"/>
      <c r="BJ57" s="17"/>
      <c r="BK57" s="35">
        <f t="shared" si="17"/>
        <v>0</v>
      </c>
      <c r="BL57" s="79"/>
    </row>
    <row r="58" spans="1:64" ht="12.75">
      <c r="A58" s="77" t="s">
        <v>246</v>
      </c>
      <c r="B58" s="77"/>
      <c r="C58" s="35">
        <f t="shared" si="9"/>
        <v>1096432</v>
      </c>
      <c r="D58" s="35"/>
      <c r="E58" s="35">
        <v>14320851</v>
      </c>
      <c r="F58" s="35"/>
      <c r="G58" s="35">
        <v>15417283</v>
      </c>
      <c r="H58" s="35"/>
      <c r="I58" s="35">
        <f t="shared" si="10"/>
        <v>6028096</v>
      </c>
      <c r="J58" s="35"/>
      <c r="K58" s="35">
        <f t="shared" si="11"/>
        <v>883861</v>
      </c>
      <c r="L58" s="35"/>
      <c r="M58" s="35">
        <v>6911957</v>
      </c>
      <c r="N58" s="35"/>
      <c r="O58" s="35">
        <v>8008507</v>
      </c>
      <c r="P58" s="35"/>
      <c r="Q58" s="35">
        <v>0</v>
      </c>
      <c r="R58" s="35"/>
      <c r="S58" s="35">
        <v>496819</v>
      </c>
      <c r="T58" s="35"/>
      <c r="U58" s="35">
        <f t="shared" si="12"/>
        <v>8505326</v>
      </c>
      <c r="V58" s="35"/>
      <c r="W58" s="35">
        <f t="shared" si="13"/>
        <v>0</v>
      </c>
      <c r="X58" s="35"/>
      <c r="Y58" s="81" t="s">
        <v>51</v>
      </c>
      <c r="Z58" s="35"/>
      <c r="AA58" s="35">
        <v>1036430</v>
      </c>
      <c r="AB58" s="17"/>
      <c r="AC58" s="35">
        <f>1177261-360904</f>
        <v>816357</v>
      </c>
      <c r="AD58" s="17"/>
      <c r="AE58" s="35">
        <v>360904</v>
      </c>
      <c r="AF58" s="17"/>
      <c r="AG58" s="35">
        <f t="shared" si="14"/>
        <v>-140831</v>
      </c>
      <c r="AH58" s="40"/>
      <c r="AI58" s="35">
        <v>-151013</v>
      </c>
      <c r="AJ58" s="40"/>
      <c r="AK58" s="35">
        <v>0</v>
      </c>
      <c r="AL58" s="17"/>
      <c r="AM58" s="35">
        <v>0</v>
      </c>
      <c r="AN58" s="17"/>
      <c r="AO58" s="35">
        <v>0</v>
      </c>
      <c r="AP58" s="17"/>
      <c r="AQ58" s="35">
        <f t="shared" si="15"/>
        <v>-291844</v>
      </c>
      <c r="AR58" s="40"/>
      <c r="AS58" s="17">
        <v>0</v>
      </c>
      <c r="AT58" s="17"/>
      <c r="AU58" s="17">
        <v>0</v>
      </c>
      <c r="AV58" s="17"/>
      <c r="AW58" s="35">
        <f t="shared" si="16"/>
        <v>-4931664</v>
      </c>
      <c r="AX58" s="17"/>
      <c r="AY58" s="81" t="s">
        <v>51</v>
      </c>
      <c r="AZ58" s="17"/>
      <c r="BA58" s="35">
        <v>0</v>
      </c>
      <c r="BB58" s="17"/>
      <c r="BC58" s="35">
        <v>0</v>
      </c>
      <c r="BD58" s="17"/>
      <c r="BE58" s="35">
        <v>821339</v>
      </c>
      <c r="BF58" s="17"/>
      <c r="BG58" s="35">
        <v>62522</v>
      </c>
      <c r="BH58" s="17"/>
      <c r="BI58" s="17"/>
      <c r="BJ58" s="17"/>
      <c r="BK58" s="35">
        <f t="shared" si="17"/>
        <v>883861</v>
      </c>
      <c r="BL58" s="79"/>
    </row>
    <row r="59" spans="1:64" ht="12.75">
      <c r="A59" s="77" t="s">
        <v>183</v>
      </c>
      <c r="B59" s="77"/>
      <c r="C59" s="35">
        <f t="shared" si="9"/>
        <v>13249580</v>
      </c>
      <c r="D59" s="35"/>
      <c r="E59" s="35">
        <f>+24958911+38796510</f>
        <v>63755421</v>
      </c>
      <c r="F59" s="35"/>
      <c r="G59" s="35">
        <f>32842093+44162908</f>
        <v>77005001</v>
      </c>
      <c r="H59" s="35"/>
      <c r="I59" s="35">
        <f t="shared" si="10"/>
        <v>1203338</v>
      </c>
      <c r="J59" s="35"/>
      <c r="K59" s="35">
        <f t="shared" si="11"/>
        <v>24037249</v>
      </c>
      <c r="L59" s="35"/>
      <c r="M59" s="35">
        <f>22483108+2757479</f>
        <v>25240587</v>
      </c>
      <c r="N59" s="35"/>
      <c r="O59" s="35">
        <f>2888909+36087722</f>
        <v>38976631</v>
      </c>
      <c r="P59" s="35"/>
      <c r="Q59" s="35">
        <v>0</v>
      </c>
      <c r="R59" s="35"/>
      <c r="S59" s="35">
        <f>7470076+5317707</f>
        <v>12787783</v>
      </c>
      <c r="T59" s="35"/>
      <c r="U59" s="35">
        <f t="shared" si="12"/>
        <v>51764414</v>
      </c>
      <c r="V59" s="35"/>
      <c r="W59" s="35">
        <f t="shared" si="13"/>
        <v>0</v>
      </c>
      <c r="X59" s="35"/>
      <c r="Y59" s="81" t="s">
        <v>183</v>
      </c>
      <c r="Z59" s="35"/>
      <c r="AA59" s="35">
        <f>5654063+1941450</f>
        <v>7595513</v>
      </c>
      <c r="AB59" s="17"/>
      <c r="AC59" s="35">
        <f>3745814+3232087-1012573-1708406</f>
        <v>4256922</v>
      </c>
      <c r="AD59" s="17"/>
      <c r="AE59" s="35">
        <f>1012573+1708406</f>
        <v>2720979</v>
      </c>
      <c r="AF59" s="17"/>
      <c r="AG59" s="35">
        <f t="shared" si="14"/>
        <v>617612</v>
      </c>
      <c r="AH59" s="40"/>
      <c r="AI59" s="35">
        <f>-1026562-118772</f>
        <v>-1145334</v>
      </c>
      <c r="AJ59" s="40"/>
      <c r="AK59" s="35">
        <v>0</v>
      </c>
      <c r="AL59" s="17"/>
      <c r="AM59" s="35">
        <v>0</v>
      </c>
      <c r="AN59" s="17"/>
      <c r="AO59" s="35">
        <v>1345281</v>
      </c>
      <c r="AP59" s="17"/>
      <c r="AQ59" s="35">
        <f t="shared" si="15"/>
        <v>817559</v>
      </c>
      <c r="AR59" s="40"/>
      <c r="AS59" s="17">
        <v>0</v>
      </c>
      <c r="AT59" s="17"/>
      <c r="AU59" s="17">
        <v>0</v>
      </c>
      <c r="AV59" s="17"/>
      <c r="AW59" s="35">
        <f t="shared" si="16"/>
        <v>12046242</v>
      </c>
      <c r="AX59" s="17"/>
      <c r="AY59" s="81" t="s">
        <v>183</v>
      </c>
      <c r="AZ59" s="17"/>
      <c r="BA59" s="35">
        <v>0</v>
      </c>
      <c r="BB59" s="17"/>
      <c r="BC59" s="35">
        <v>0</v>
      </c>
      <c r="BD59" s="17"/>
      <c r="BE59" s="35">
        <f>21437820+2556484</f>
        <v>23994304</v>
      </c>
      <c r="BF59" s="17"/>
      <c r="BG59" s="35">
        <v>42945</v>
      </c>
      <c r="BH59" s="17"/>
      <c r="BI59" s="17"/>
      <c r="BJ59" s="17"/>
      <c r="BK59" s="35">
        <f t="shared" si="17"/>
        <v>24037249</v>
      </c>
      <c r="BL59" s="79"/>
    </row>
    <row r="60" spans="1:64" ht="12.75" hidden="1">
      <c r="A60" s="77" t="s">
        <v>52</v>
      </c>
      <c r="B60" s="77"/>
      <c r="C60" s="35">
        <f t="shared" si="9"/>
        <v>0</v>
      </c>
      <c r="D60" s="35"/>
      <c r="E60" s="35">
        <v>0</v>
      </c>
      <c r="F60" s="35"/>
      <c r="G60" s="35">
        <v>0</v>
      </c>
      <c r="H60" s="35"/>
      <c r="I60" s="35">
        <f t="shared" si="10"/>
        <v>0</v>
      </c>
      <c r="J60" s="35"/>
      <c r="K60" s="35">
        <f t="shared" si="11"/>
        <v>0</v>
      </c>
      <c r="L60" s="35"/>
      <c r="M60" s="35">
        <v>0</v>
      </c>
      <c r="N60" s="35"/>
      <c r="O60" s="35">
        <v>0</v>
      </c>
      <c r="P60" s="35"/>
      <c r="Q60" s="35">
        <v>0</v>
      </c>
      <c r="R60" s="35"/>
      <c r="S60" s="35">
        <v>0</v>
      </c>
      <c r="T60" s="35"/>
      <c r="U60" s="35">
        <f t="shared" si="12"/>
        <v>0</v>
      </c>
      <c r="V60" s="35"/>
      <c r="W60" s="35">
        <f t="shared" si="13"/>
        <v>0</v>
      </c>
      <c r="X60" s="35"/>
      <c r="Y60" s="81" t="s">
        <v>52</v>
      </c>
      <c r="Z60" s="35"/>
      <c r="AA60" s="35">
        <v>0</v>
      </c>
      <c r="AB60" s="17"/>
      <c r="AC60" s="35">
        <v>0</v>
      </c>
      <c r="AD60" s="17"/>
      <c r="AE60" s="35">
        <v>0</v>
      </c>
      <c r="AF60" s="17"/>
      <c r="AG60" s="35">
        <f t="shared" si="14"/>
        <v>0</v>
      </c>
      <c r="AH60" s="40"/>
      <c r="AI60" s="35">
        <v>0</v>
      </c>
      <c r="AJ60" s="40"/>
      <c r="AK60" s="35">
        <v>0</v>
      </c>
      <c r="AL60" s="17"/>
      <c r="AM60" s="35">
        <v>0</v>
      </c>
      <c r="AN60" s="17"/>
      <c r="AO60" s="35">
        <v>0</v>
      </c>
      <c r="AP60" s="17"/>
      <c r="AQ60" s="35">
        <f t="shared" si="15"/>
        <v>0</v>
      </c>
      <c r="AR60" s="40"/>
      <c r="AS60" s="17">
        <v>0</v>
      </c>
      <c r="AT60" s="17"/>
      <c r="AU60" s="17">
        <v>0</v>
      </c>
      <c r="AV60" s="17"/>
      <c r="AW60" s="35">
        <f t="shared" si="16"/>
        <v>0</v>
      </c>
      <c r="AX60" s="17"/>
      <c r="AY60" s="81" t="s">
        <v>52</v>
      </c>
      <c r="AZ60" s="17"/>
      <c r="BA60" s="35">
        <v>0</v>
      </c>
      <c r="BB60" s="17"/>
      <c r="BC60" s="35">
        <v>0</v>
      </c>
      <c r="BD60" s="17"/>
      <c r="BE60" s="35">
        <v>0</v>
      </c>
      <c r="BF60" s="17"/>
      <c r="BG60" s="35">
        <v>0</v>
      </c>
      <c r="BH60" s="17"/>
      <c r="BI60" s="17"/>
      <c r="BJ60" s="17"/>
      <c r="BK60" s="35">
        <f t="shared" si="17"/>
        <v>0</v>
      </c>
      <c r="BL60" s="79"/>
    </row>
    <row r="61" spans="1:64" ht="12.75">
      <c r="A61" s="77" t="s">
        <v>53</v>
      </c>
      <c r="B61" s="77"/>
      <c r="C61" s="35">
        <f t="shared" si="9"/>
        <v>22626373</v>
      </c>
      <c r="D61" s="35"/>
      <c r="E61" s="35">
        <v>70798473</v>
      </c>
      <c r="F61" s="35"/>
      <c r="G61" s="35">
        <v>93424846</v>
      </c>
      <c r="H61" s="35"/>
      <c r="I61" s="35">
        <f t="shared" si="10"/>
        <v>11483964</v>
      </c>
      <c r="J61" s="35"/>
      <c r="K61" s="35">
        <f t="shared" si="11"/>
        <v>17430397</v>
      </c>
      <c r="L61" s="35"/>
      <c r="M61" s="35">
        <v>28914361</v>
      </c>
      <c r="N61" s="35"/>
      <c r="O61" s="35">
        <v>43865655</v>
      </c>
      <c r="P61" s="35"/>
      <c r="Q61" s="35">
        <v>0</v>
      </c>
      <c r="R61" s="35"/>
      <c r="S61" s="35">
        <v>20644830</v>
      </c>
      <c r="T61" s="35"/>
      <c r="U61" s="35">
        <f t="shared" si="12"/>
        <v>64510485</v>
      </c>
      <c r="V61" s="35"/>
      <c r="W61" s="35">
        <f t="shared" si="13"/>
        <v>0</v>
      </c>
      <c r="X61" s="35"/>
      <c r="Y61" s="81" t="s">
        <v>53</v>
      </c>
      <c r="Z61" s="35"/>
      <c r="AA61" s="35">
        <v>21260370</v>
      </c>
      <c r="AB61" s="17"/>
      <c r="AC61" s="35">
        <f>17555621-2866768</f>
        <v>14688853</v>
      </c>
      <c r="AD61" s="17"/>
      <c r="AE61" s="35">
        <v>2866768</v>
      </c>
      <c r="AF61" s="17"/>
      <c r="AG61" s="35">
        <f t="shared" si="14"/>
        <v>3704749</v>
      </c>
      <c r="AH61" s="40"/>
      <c r="AI61" s="35">
        <v>-178156</v>
      </c>
      <c r="AJ61" s="40"/>
      <c r="AK61" s="35">
        <v>11264</v>
      </c>
      <c r="AL61" s="17"/>
      <c r="AM61" s="35">
        <v>444453</v>
      </c>
      <c r="AN61" s="17"/>
      <c r="AO61" s="35">
        <v>2260681</v>
      </c>
      <c r="AP61" s="17"/>
      <c r="AQ61" s="35">
        <f t="shared" si="15"/>
        <v>5354085</v>
      </c>
      <c r="AR61" s="40"/>
      <c r="AS61" s="17">
        <v>0</v>
      </c>
      <c r="AT61" s="17"/>
      <c r="AU61" s="17">
        <v>0</v>
      </c>
      <c r="AV61" s="17"/>
      <c r="AW61" s="35">
        <f t="shared" si="16"/>
        <v>11142409</v>
      </c>
      <c r="AX61" s="17"/>
      <c r="AY61" s="81" t="s">
        <v>53</v>
      </c>
      <c r="AZ61" s="17"/>
      <c r="BA61" s="35">
        <v>0</v>
      </c>
      <c r="BB61" s="17"/>
      <c r="BC61" s="35">
        <f>6285000+180589</f>
        <v>6465589</v>
      </c>
      <c r="BD61" s="17"/>
      <c r="BE61" s="35">
        <f>1520722+8799581</f>
        <v>10320303</v>
      </c>
      <c r="BF61" s="17"/>
      <c r="BG61" s="35">
        <v>644505</v>
      </c>
      <c r="BH61" s="17"/>
      <c r="BI61" s="17"/>
      <c r="BJ61" s="17"/>
      <c r="BK61" s="35">
        <f t="shared" si="17"/>
        <v>17430397</v>
      </c>
      <c r="BL61" s="79"/>
    </row>
    <row r="62" spans="1:64" ht="12.75">
      <c r="A62" s="77" t="s">
        <v>54</v>
      </c>
      <c r="B62" s="77"/>
      <c r="C62" s="35">
        <f t="shared" si="9"/>
        <v>3037624</v>
      </c>
      <c r="D62" s="35"/>
      <c r="E62" s="35">
        <v>8493840</v>
      </c>
      <c r="F62" s="35"/>
      <c r="G62" s="35">
        <v>11531464</v>
      </c>
      <c r="H62" s="35"/>
      <c r="I62" s="35">
        <f t="shared" si="10"/>
        <v>42075</v>
      </c>
      <c r="J62" s="35"/>
      <c r="K62" s="35">
        <f t="shared" si="11"/>
        <v>2739320</v>
      </c>
      <c r="L62" s="35"/>
      <c r="M62" s="35">
        <v>2781395</v>
      </c>
      <c r="N62" s="35"/>
      <c r="O62" s="35">
        <v>5784359</v>
      </c>
      <c r="P62" s="35"/>
      <c r="Q62" s="35">
        <v>0</v>
      </c>
      <c r="R62" s="35"/>
      <c r="S62" s="35">
        <v>2965710</v>
      </c>
      <c r="T62" s="35"/>
      <c r="U62" s="35">
        <f t="shared" si="12"/>
        <v>8750069</v>
      </c>
      <c r="V62" s="35"/>
      <c r="W62" s="35">
        <f t="shared" si="13"/>
        <v>0</v>
      </c>
      <c r="X62" s="35"/>
      <c r="Y62" s="81" t="s">
        <v>54</v>
      </c>
      <c r="Z62" s="35"/>
      <c r="AA62" s="35">
        <v>1179540</v>
      </c>
      <c r="AB62" s="17"/>
      <c r="AC62" s="35">
        <f>1066203-334873</f>
        <v>731330</v>
      </c>
      <c r="AD62" s="17"/>
      <c r="AE62" s="35">
        <v>334873</v>
      </c>
      <c r="AF62" s="17"/>
      <c r="AG62" s="35">
        <f t="shared" si="14"/>
        <v>113337</v>
      </c>
      <c r="AH62" s="40"/>
      <c r="AI62" s="35">
        <v>-61450</v>
      </c>
      <c r="AJ62" s="40"/>
      <c r="AK62" s="35">
        <v>0</v>
      </c>
      <c r="AL62" s="17"/>
      <c r="AM62" s="35">
        <v>0</v>
      </c>
      <c r="AN62" s="17"/>
      <c r="AO62" s="35">
        <v>388628</v>
      </c>
      <c r="AP62" s="17"/>
      <c r="AQ62" s="35">
        <f t="shared" si="15"/>
        <v>440515</v>
      </c>
      <c r="AR62" s="40"/>
      <c r="AS62" s="17">
        <v>0</v>
      </c>
      <c r="AT62" s="17"/>
      <c r="AU62" s="17">
        <v>0</v>
      </c>
      <c r="AV62" s="17"/>
      <c r="AW62" s="35">
        <f t="shared" si="16"/>
        <v>2995549</v>
      </c>
      <c r="AX62" s="17"/>
      <c r="AY62" s="81" t="s">
        <v>54</v>
      </c>
      <c r="AZ62" s="17"/>
      <c r="BA62" s="35">
        <v>2310000</v>
      </c>
      <c r="BB62" s="17"/>
      <c r="BC62" s="35">
        <v>0</v>
      </c>
      <c r="BD62" s="17"/>
      <c r="BE62" s="35">
        <v>399481</v>
      </c>
      <c r="BF62" s="17"/>
      <c r="BG62" s="35">
        <v>29839</v>
      </c>
      <c r="BH62" s="17"/>
      <c r="BI62" s="17"/>
      <c r="BJ62" s="17"/>
      <c r="BK62" s="35">
        <f t="shared" si="17"/>
        <v>2739320</v>
      </c>
      <c r="BL62" s="83"/>
    </row>
    <row r="63" spans="1:64" ht="12.75">
      <c r="A63" s="77" t="s">
        <v>55</v>
      </c>
      <c r="B63" s="77"/>
      <c r="C63" s="35">
        <f t="shared" si="9"/>
        <v>17039568</v>
      </c>
      <c r="D63" s="35"/>
      <c r="E63" s="35">
        <v>156988842</v>
      </c>
      <c r="F63" s="35"/>
      <c r="G63" s="35">
        <v>174028410</v>
      </c>
      <c r="H63" s="35"/>
      <c r="I63" s="35">
        <f t="shared" si="10"/>
        <v>6360090</v>
      </c>
      <c r="J63" s="35"/>
      <c r="K63" s="35">
        <f t="shared" si="11"/>
        <v>43358452</v>
      </c>
      <c r="L63" s="35"/>
      <c r="M63" s="35">
        <v>49718542</v>
      </c>
      <c r="N63" s="35"/>
      <c r="O63" s="35">
        <v>107849791</v>
      </c>
      <c r="P63" s="35"/>
      <c r="Q63" s="35">
        <v>0</v>
      </c>
      <c r="R63" s="35"/>
      <c r="S63" s="35">
        <v>16460077</v>
      </c>
      <c r="T63" s="35"/>
      <c r="U63" s="35">
        <f t="shared" si="12"/>
        <v>124309868</v>
      </c>
      <c r="V63" s="35"/>
      <c r="W63" s="35">
        <f t="shared" si="13"/>
        <v>0</v>
      </c>
      <c r="X63" s="35"/>
      <c r="Y63" s="81" t="s">
        <v>55</v>
      </c>
      <c r="Z63" s="35"/>
      <c r="AA63" s="35">
        <v>12215411</v>
      </c>
      <c r="AB63" s="17"/>
      <c r="AC63" s="35">
        <f>14373285-3711677</f>
        <v>10661608</v>
      </c>
      <c r="AD63" s="17"/>
      <c r="AE63" s="35">
        <v>3711677</v>
      </c>
      <c r="AF63" s="17"/>
      <c r="AG63" s="35">
        <f t="shared" si="14"/>
        <v>-2157874</v>
      </c>
      <c r="AH63" s="40"/>
      <c r="AI63" s="35">
        <v>297421</v>
      </c>
      <c r="AJ63" s="40"/>
      <c r="AK63" s="35">
        <v>0</v>
      </c>
      <c r="AL63" s="17"/>
      <c r="AM63" s="35">
        <v>0</v>
      </c>
      <c r="AN63" s="17"/>
      <c r="AO63" s="35">
        <v>5489513</v>
      </c>
      <c r="AP63" s="17"/>
      <c r="AQ63" s="35">
        <f t="shared" si="15"/>
        <v>3629060</v>
      </c>
      <c r="AR63" s="40"/>
      <c r="AS63" s="17">
        <v>0</v>
      </c>
      <c r="AT63" s="17"/>
      <c r="AU63" s="17">
        <v>0</v>
      </c>
      <c r="AV63" s="17"/>
      <c r="AW63" s="35">
        <f t="shared" si="16"/>
        <v>10679478</v>
      </c>
      <c r="AX63" s="17"/>
      <c r="AY63" s="81" t="s">
        <v>55</v>
      </c>
      <c r="AZ63" s="17"/>
      <c r="BA63" s="35">
        <v>0</v>
      </c>
      <c r="BB63" s="17"/>
      <c r="BC63" s="35">
        <v>0</v>
      </c>
      <c r="BD63" s="17"/>
      <c r="BE63" s="35">
        <v>42857568</v>
      </c>
      <c r="BF63" s="17"/>
      <c r="BG63" s="35">
        <v>500884</v>
      </c>
      <c r="BH63" s="17"/>
      <c r="BI63" s="17"/>
      <c r="BJ63" s="17"/>
      <c r="BK63" s="35">
        <f t="shared" si="17"/>
        <v>43358452</v>
      </c>
      <c r="BL63" s="83"/>
    </row>
    <row r="64" spans="1:65" ht="12.75" hidden="1">
      <c r="A64" s="32" t="s">
        <v>171</v>
      </c>
      <c r="B64" s="32"/>
      <c r="C64" s="35">
        <f t="shared" si="9"/>
        <v>0</v>
      </c>
      <c r="D64" s="35"/>
      <c r="E64" s="35">
        <v>0</v>
      </c>
      <c r="F64" s="35"/>
      <c r="G64" s="35">
        <v>0</v>
      </c>
      <c r="H64" s="35"/>
      <c r="I64" s="35">
        <f t="shared" si="10"/>
        <v>0</v>
      </c>
      <c r="J64" s="35"/>
      <c r="K64" s="35">
        <f t="shared" si="11"/>
        <v>0</v>
      </c>
      <c r="L64" s="35"/>
      <c r="M64" s="35">
        <v>0</v>
      </c>
      <c r="N64" s="35"/>
      <c r="O64" s="35">
        <v>0</v>
      </c>
      <c r="P64" s="35"/>
      <c r="Q64" s="35">
        <v>0</v>
      </c>
      <c r="R64" s="35"/>
      <c r="S64" s="35">
        <v>0</v>
      </c>
      <c r="T64" s="35"/>
      <c r="U64" s="35">
        <f t="shared" si="12"/>
        <v>0</v>
      </c>
      <c r="V64" s="35"/>
      <c r="W64" s="35">
        <f t="shared" si="13"/>
        <v>0</v>
      </c>
      <c r="X64" s="35"/>
      <c r="Y64" s="24" t="s">
        <v>171</v>
      </c>
      <c r="Z64" s="35"/>
      <c r="AA64" s="35">
        <v>0</v>
      </c>
      <c r="AB64" s="17"/>
      <c r="AC64" s="35">
        <v>0</v>
      </c>
      <c r="AD64" s="17"/>
      <c r="AE64" s="35">
        <v>0</v>
      </c>
      <c r="AF64" s="17"/>
      <c r="AG64" s="35">
        <f t="shared" si="14"/>
        <v>0</v>
      </c>
      <c r="AH64" s="40"/>
      <c r="AI64" s="35">
        <v>0</v>
      </c>
      <c r="AJ64" s="40"/>
      <c r="AK64" s="35">
        <v>0</v>
      </c>
      <c r="AL64" s="17"/>
      <c r="AM64" s="35">
        <v>0</v>
      </c>
      <c r="AN64" s="17"/>
      <c r="AO64" s="35">
        <v>0</v>
      </c>
      <c r="AP64" s="17"/>
      <c r="AQ64" s="35">
        <f t="shared" si="15"/>
        <v>0</v>
      </c>
      <c r="AR64" s="40"/>
      <c r="AS64" s="17">
        <v>0</v>
      </c>
      <c r="AT64" s="17"/>
      <c r="AU64" s="17">
        <v>0</v>
      </c>
      <c r="AV64" s="17"/>
      <c r="AW64" s="35">
        <f t="shared" si="16"/>
        <v>0</v>
      </c>
      <c r="AX64" s="35"/>
      <c r="AY64" s="24" t="s">
        <v>171</v>
      </c>
      <c r="AZ64" s="35"/>
      <c r="BA64" s="35">
        <v>0</v>
      </c>
      <c r="BB64" s="17"/>
      <c r="BC64" s="35">
        <v>0</v>
      </c>
      <c r="BD64" s="17"/>
      <c r="BE64" s="35">
        <v>0</v>
      </c>
      <c r="BF64" s="17"/>
      <c r="BG64" s="35">
        <v>0</v>
      </c>
      <c r="BH64" s="17"/>
      <c r="BI64" s="17"/>
      <c r="BJ64" s="17"/>
      <c r="BK64" s="35">
        <f t="shared" si="17"/>
        <v>0</v>
      </c>
      <c r="BL64" s="79"/>
      <c r="BM64" s="79"/>
    </row>
    <row r="65" spans="1:64" ht="12.75" hidden="1">
      <c r="A65" s="77" t="s">
        <v>56</v>
      </c>
      <c r="B65" s="77"/>
      <c r="C65" s="35">
        <f t="shared" si="9"/>
        <v>0</v>
      </c>
      <c r="D65" s="35"/>
      <c r="E65" s="35">
        <v>0</v>
      </c>
      <c r="F65" s="35"/>
      <c r="G65" s="35">
        <v>0</v>
      </c>
      <c r="H65" s="35"/>
      <c r="I65" s="35">
        <f t="shared" si="10"/>
        <v>0</v>
      </c>
      <c r="J65" s="35"/>
      <c r="K65" s="35">
        <f t="shared" si="11"/>
        <v>0</v>
      </c>
      <c r="L65" s="35"/>
      <c r="M65" s="35">
        <v>0</v>
      </c>
      <c r="N65" s="35"/>
      <c r="O65" s="35">
        <v>0</v>
      </c>
      <c r="P65" s="35"/>
      <c r="Q65" s="35">
        <v>0</v>
      </c>
      <c r="R65" s="35"/>
      <c r="S65" s="35">
        <v>0</v>
      </c>
      <c r="T65" s="35"/>
      <c r="U65" s="35">
        <f t="shared" si="12"/>
        <v>0</v>
      </c>
      <c r="V65" s="35"/>
      <c r="W65" s="35">
        <f t="shared" si="13"/>
        <v>0</v>
      </c>
      <c r="X65" s="35"/>
      <c r="Y65" s="81" t="s">
        <v>56</v>
      </c>
      <c r="Z65" s="35"/>
      <c r="AA65" s="35">
        <v>0</v>
      </c>
      <c r="AB65" s="17"/>
      <c r="AC65" s="35">
        <v>0</v>
      </c>
      <c r="AD65" s="17"/>
      <c r="AE65" s="35">
        <v>0</v>
      </c>
      <c r="AF65" s="17"/>
      <c r="AG65" s="35">
        <f t="shared" si="14"/>
        <v>0</v>
      </c>
      <c r="AH65" s="40"/>
      <c r="AI65" s="35">
        <v>0</v>
      </c>
      <c r="AJ65" s="40"/>
      <c r="AK65" s="35">
        <v>0</v>
      </c>
      <c r="AL65" s="17"/>
      <c r="AM65" s="35">
        <v>0</v>
      </c>
      <c r="AN65" s="17"/>
      <c r="AO65" s="35">
        <v>0</v>
      </c>
      <c r="AP65" s="17"/>
      <c r="AQ65" s="35">
        <f t="shared" si="15"/>
        <v>0</v>
      </c>
      <c r="AR65" s="40"/>
      <c r="AS65" s="17">
        <v>0</v>
      </c>
      <c r="AT65" s="17"/>
      <c r="AU65" s="17">
        <v>0</v>
      </c>
      <c r="AV65" s="17"/>
      <c r="AW65" s="35">
        <f t="shared" si="16"/>
        <v>0</v>
      </c>
      <c r="AX65" s="17"/>
      <c r="AY65" s="81" t="s">
        <v>56</v>
      </c>
      <c r="AZ65" s="17"/>
      <c r="BA65" s="35">
        <v>0</v>
      </c>
      <c r="BB65" s="17"/>
      <c r="BC65" s="35">
        <v>0</v>
      </c>
      <c r="BD65" s="17"/>
      <c r="BE65" s="35">
        <v>0</v>
      </c>
      <c r="BF65" s="17"/>
      <c r="BG65" s="35">
        <v>0</v>
      </c>
      <c r="BH65" s="17"/>
      <c r="BI65" s="17"/>
      <c r="BJ65" s="17"/>
      <c r="BK65" s="35">
        <f t="shared" si="17"/>
        <v>0</v>
      </c>
      <c r="BL65" s="79"/>
    </row>
    <row r="66" spans="1:64" ht="12.75">
      <c r="A66" s="77" t="s">
        <v>57</v>
      </c>
      <c r="B66" s="77"/>
      <c r="C66" s="35">
        <f t="shared" si="9"/>
        <v>3803737</v>
      </c>
      <c r="D66" s="35"/>
      <c r="E66" s="35">
        <v>6631180</v>
      </c>
      <c r="F66" s="35"/>
      <c r="G66" s="35">
        <v>10434917</v>
      </c>
      <c r="H66" s="35"/>
      <c r="I66" s="35">
        <f t="shared" si="10"/>
        <v>4981129</v>
      </c>
      <c r="J66" s="35"/>
      <c r="K66" s="35">
        <f t="shared" si="11"/>
        <v>3395789</v>
      </c>
      <c r="L66" s="35"/>
      <c r="M66" s="35">
        <v>8376918</v>
      </c>
      <c r="N66" s="35"/>
      <c r="O66" s="35">
        <v>1241299</v>
      </c>
      <c r="P66" s="35"/>
      <c r="Q66" s="35">
        <v>0</v>
      </c>
      <c r="R66" s="35"/>
      <c r="S66" s="35">
        <v>816700</v>
      </c>
      <c r="T66" s="35"/>
      <c r="U66" s="35">
        <f t="shared" si="12"/>
        <v>2057999</v>
      </c>
      <c r="V66" s="35"/>
      <c r="W66" s="35">
        <f t="shared" si="13"/>
        <v>0</v>
      </c>
      <c r="X66" s="35"/>
      <c r="Y66" s="81" t="s">
        <v>57</v>
      </c>
      <c r="Z66" s="35"/>
      <c r="AA66" s="35">
        <v>1282360</v>
      </c>
      <c r="AB66" s="17"/>
      <c r="AC66" s="35">
        <f>1445744-202574</f>
        <v>1243170</v>
      </c>
      <c r="AD66" s="17"/>
      <c r="AE66" s="35">
        <v>202574</v>
      </c>
      <c r="AF66" s="17"/>
      <c r="AG66" s="35">
        <f t="shared" si="14"/>
        <v>-163384</v>
      </c>
      <c r="AH66" s="40"/>
      <c r="AI66" s="35">
        <v>-152418</v>
      </c>
      <c r="AJ66" s="40"/>
      <c r="AK66" s="35">
        <v>0</v>
      </c>
      <c r="AL66" s="17"/>
      <c r="AM66" s="35">
        <v>0</v>
      </c>
      <c r="AN66" s="17"/>
      <c r="AO66" s="35">
        <v>123940</v>
      </c>
      <c r="AP66" s="17"/>
      <c r="AQ66" s="35">
        <f t="shared" si="15"/>
        <v>-191862</v>
      </c>
      <c r="AR66" s="40"/>
      <c r="AS66" s="17">
        <v>0</v>
      </c>
      <c r="AT66" s="17"/>
      <c r="AU66" s="17">
        <v>0</v>
      </c>
      <c r="AV66" s="17"/>
      <c r="AW66" s="35">
        <f t="shared" si="16"/>
        <v>-1177392</v>
      </c>
      <c r="AX66" s="17"/>
      <c r="AY66" s="81" t="s">
        <v>57</v>
      </c>
      <c r="AZ66" s="17"/>
      <c r="BA66" s="35">
        <v>3108189</v>
      </c>
      <c r="BB66" s="17"/>
      <c r="BC66" s="35">
        <v>0</v>
      </c>
      <c r="BD66" s="17"/>
      <c r="BE66" s="35">
        <v>287600</v>
      </c>
      <c r="BF66" s="17"/>
      <c r="BG66" s="35">
        <v>0</v>
      </c>
      <c r="BH66" s="17"/>
      <c r="BI66" s="17"/>
      <c r="BJ66" s="17"/>
      <c r="BK66" s="35">
        <f t="shared" si="17"/>
        <v>3395789</v>
      </c>
      <c r="BL66" s="83"/>
    </row>
    <row r="67" spans="1:64" ht="12.75" hidden="1">
      <c r="A67" s="77" t="s">
        <v>58</v>
      </c>
      <c r="B67" s="77"/>
      <c r="C67" s="35">
        <f t="shared" si="9"/>
        <v>0</v>
      </c>
      <c r="D67" s="35"/>
      <c r="E67" s="35">
        <v>0</v>
      </c>
      <c r="F67" s="35"/>
      <c r="G67" s="35">
        <v>0</v>
      </c>
      <c r="H67" s="35"/>
      <c r="I67" s="35">
        <f t="shared" si="10"/>
        <v>0</v>
      </c>
      <c r="J67" s="35"/>
      <c r="K67" s="35">
        <f t="shared" si="11"/>
        <v>0</v>
      </c>
      <c r="L67" s="35"/>
      <c r="M67" s="35">
        <v>0</v>
      </c>
      <c r="N67" s="35"/>
      <c r="O67" s="35">
        <v>0</v>
      </c>
      <c r="P67" s="35"/>
      <c r="Q67" s="35">
        <v>0</v>
      </c>
      <c r="R67" s="35"/>
      <c r="S67" s="35">
        <v>0</v>
      </c>
      <c r="T67" s="35"/>
      <c r="U67" s="35">
        <f t="shared" si="12"/>
        <v>0</v>
      </c>
      <c r="V67" s="35"/>
      <c r="W67" s="35">
        <f t="shared" si="13"/>
        <v>0</v>
      </c>
      <c r="X67" s="35"/>
      <c r="Y67" s="81" t="s">
        <v>58</v>
      </c>
      <c r="Z67" s="35"/>
      <c r="AA67" s="35">
        <v>0</v>
      </c>
      <c r="AB67" s="17"/>
      <c r="AC67" s="35">
        <v>0</v>
      </c>
      <c r="AD67" s="17"/>
      <c r="AE67" s="35">
        <v>0</v>
      </c>
      <c r="AF67" s="17"/>
      <c r="AG67" s="35">
        <f t="shared" si="14"/>
        <v>0</v>
      </c>
      <c r="AH67" s="40"/>
      <c r="AI67" s="35">
        <v>0</v>
      </c>
      <c r="AJ67" s="40"/>
      <c r="AK67" s="35">
        <v>0</v>
      </c>
      <c r="AL67" s="17"/>
      <c r="AM67" s="35">
        <v>0</v>
      </c>
      <c r="AN67" s="17"/>
      <c r="AO67" s="35">
        <v>0</v>
      </c>
      <c r="AP67" s="17"/>
      <c r="AQ67" s="35">
        <f t="shared" si="15"/>
        <v>0</v>
      </c>
      <c r="AR67" s="40"/>
      <c r="AS67" s="17">
        <v>0</v>
      </c>
      <c r="AT67" s="17"/>
      <c r="AU67" s="17">
        <v>0</v>
      </c>
      <c r="AV67" s="17"/>
      <c r="AW67" s="35">
        <f t="shared" si="16"/>
        <v>0</v>
      </c>
      <c r="AX67" s="17"/>
      <c r="AY67" s="81" t="s">
        <v>58</v>
      </c>
      <c r="AZ67" s="17"/>
      <c r="BA67" s="35">
        <v>0</v>
      </c>
      <c r="BB67" s="17"/>
      <c r="BC67" s="35">
        <v>0</v>
      </c>
      <c r="BD67" s="17"/>
      <c r="BE67" s="35">
        <v>0</v>
      </c>
      <c r="BF67" s="17"/>
      <c r="BG67" s="35">
        <v>0</v>
      </c>
      <c r="BH67" s="17"/>
      <c r="BI67" s="17"/>
      <c r="BJ67" s="17"/>
      <c r="BK67" s="35">
        <f t="shared" si="17"/>
        <v>0</v>
      </c>
      <c r="BL67" s="79"/>
    </row>
    <row r="68" spans="1:64" ht="12.75">
      <c r="A68" s="77" t="s">
        <v>59</v>
      </c>
      <c r="B68" s="77"/>
      <c r="C68" s="35">
        <f t="shared" si="9"/>
        <v>47414335</v>
      </c>
      <c r="D68" s="35"/>
      <c r="E68" s="35">
        <v>218850239</v>
      </c>
      <c r="F68" s="35"/>
      <c r="G68" s="35">
        <v>266264574</v>
      </c>
      <c r="H68" s="35"/>
      <c r="I68" s="35">
        <f t="shared" si="10"/>
        <v>13147057</v>
      </c>
      <c r="J68" s="35"/>
      <c r="K68" s="35">
        <f t="shared" si="11"/>
        <v>76905860</v>
      </c>
      <c r="L68" s="35"/>
      <c r="M68" s="35">
        <v>90052917</v>
      </c>
      <c r="N68" s="35"/>
      <c r="O68" s="35">
        <v>136703609</v>
      </c>
      <c r="P68" s="35"/>
      <c r="Q68" s="35">
        <f>2649378+1275833</f>
        <v>3925211</v>
      </c>
      <c r="R68" s="35"/>
      <c r="S68" s="35">
        <v>35582837</v>
      </c>
      <c r="T68" s="35"/>
      <c r="U68" s="35">
        <f t="shared" si="12"/>
        <v>176211657</v>
      </c>
      <c r="V68" s="35"/>
      <c r="W68" s="35">
        <f t="shared" si="13"/>
        <v>0</v>
      </c>
      <c r="X68" s="35"/>
      <c r="Y68" s="81" t="s">
        <v>59</v>
      </c>
      <c r="Z68" s="35"/>
      <c r="AA68" s="35">
        <v>45609727</v>
      </c>
      <c r="AB68" s="17"/>
      <c r="AC68" s="35">
        <f>41038753-9783705</f>
        <v>31255048</v>
      </c>
      <c r="AD68" s="17"/>
      <c r="AE68" s="35">
        <v>9783705</v>
      </c>
      <c r="AF68" s="17"/>
      <c r="AG68" s="35">
        <f t="shared" si="14"/>
        <v>4570974</v>
      </c>
      <c r="AH68" s="40"/>
      <c r="AI68" s="35">
        <v>-3124409</v>
      </c>
      <c r="AJ68" s="40"/>
      <c r="AK68" s="35">
        <v>0</v>
      </c>
      <c r="AL68" s="17"/>
      <c r="AM68" s="35">
        <v>0</v>
      </c>
      <c r="AN68" s="17"/>
      <c r="AO68" s="35">
        <v>3048868</v>
      </c>
      <c r="AP68" s="17"/>
      <c r="AQ68" s="35">
        <f t="shared" si="15"/>
        <v>4495433</v>
      </c>
      <c r="AR68" s="40"/>
      <c r="AS68" s="17">
        <v>0</v>
      </c>
      <c r="AT68" s="17"/>
      <c r="AU68" s="17">
        <v>0</v>
      </c>
      <c r="AV68" s="17"/>
      <c r="AW68" s="35">
        <f t="shared" si="16"/>
        <v>34267278</v>
      </c>
      <c r="AX68" s="17"/>
      <c r="AY68" s="81" t="s">
        <v>59</v>
      </c>
      <c r="AZ68" s="17"/>
      <c r="BA68" s="35">
        <f>16372975-269793</f>
        <v>16103182</v>
      </c>
      <c r="BB68" s="17"/>
      <c r="BC68" s="35">
        <f>5435000-784751</f>
        <v>4650249</v>
      </c>
      <c r="BD68" s="17"/>
      <c r="BE68" s="35">
        <v>0</v>
      </c>
      <c r="BF68" s="17"/>
      <c r="BG68" s="35">
        <f>55705907+446522</f>
        <v>56152429</v>
      </c>
      <c r="BH68" s="17"/>
      <c r="BI68" s="17"/>
      <c r="BJ68" s="17"/>
      <c r="BK68" s="35">
        <f t="shared" si="17"/>
        <v>76905860</v>
      </c>
      <c r="BL68" s="83"/>
    </row>
    <row r="69" spans="1:64" ht="12.75" hidden="1">
      <c r="A69" s="77" t="s">
        <v>60</v>
      </c>
      <c r="B69" s="77"/>
      <c r="C69" s="35">
        <f t="shared" si="9"/>
        <v>0</v>
      </c>
      <c r="D69" s="35"/>
      <c r="E69" s="35">
        <v>0</v>
      </c>
      <c r="F69" s="35"/>
      <c r="G69" s="35">
        <v>0</v>
      </c>
      <c r="H69" s="35"/>
      <c r="I69" s="35">
        <f t="shared" si="10"/>
        <v>0</v>
      </c>
      <c r="J69" s="35"/>
      <c r="K69" s="35">
        <f t="shared" si="11"/>
        <v>0</v>
      </c>
      <c r="L69" s="35"/>
      <c r="M69" s="35">
        <v>0</v>
      </c>
      <c r="N69" s="35"/>
      <c r="O69" s="35">
        <v>0</v>
      </c>
      <c r="P69" s="35"/>
      <c r="Q69" s="35">
        <v>0</v>
      </c>
      <c r="R69" s="35"/>
      <c r="S69" s="35">
        <v>0</v>
      </c>
      <c r="T69" s="35"/>
      <c r="U69" s="35">
        <f t="shared" si="12"/>
        <v>0</v>
      </c>
      <c r="V69" s="35"/>
      <c r="W69" s="35">
        <f t="shared" si="13"/>
        <v>0</v>
      </c>
      <c r="X69" s="35"/>
      <c r="Y69" s="81" t="s">
        <v>60</v>
      </c>
      <c r="Z69" s="35"/>
      <c r="AA69" s="35">
        <v>0</v>
      </c>
      <c r="AB69" s="17"/>
      <c r="AC69" s="35">
        <v>0</v>
      </c>
      <c r="AD69" s="17"/>
      <c r="AE69" s="35">
        <v>0</v>
      </c>
      <c r="AF69" s="17"/>
      <c r="AG69" s="35">
        <f t="shared" si="14"/>
        <v>0</v>
      </c>
      <c r="AH69" s="40"/>
      <c r="AI69" s="35">
        <v>0</v>
      </c>
      <c r="AJ69" s="40"/>
      <c r="AK69" s="35">
        <v>0</v>
      </c>
      <c r="AL69" s="17"/>
      <c r="AM69" s="35">
        <v>0</v>
      </c>
      <c r="AN69" s="17"/>
      <c r="AO69" s="35">
        <v>0</v>
      </c>
      <c r="AP69" s="17"/>
      <c r="AQ69" s="35">
        <f t="shared" si="15"/>
        <v>0</v>
      </c>
      <c r="AR69" s="40"/>
      <c r="AS69" s="17">
        <v>0</v>
      </c>
      <c r="AT69" s="17"/>
      <c r="AU69" s="17">
        <v>0</v>
      </c>
      <c r="AV69" s="17"/>
      <c r="AW69" s="35">
        <f t="shared" si="16"/>
        <v>0</v>
      </c>
      <c r="AX69" s="35"/>
      <c r="AY69" s="81" t="s">
        <v>60</v>
      </c>
      <c r="AZ69" s="35"/>
      <c r="BA69" s="35">
        <v>0</v>
      </c>
      <c r="BB69" s="17"/>
      <c r="BC69" s="35">
        <v>0</v>
      </c>
      <c r="BD69" s="17"/>
      <c r="BE69" s="35">
        <v>0</v>
      </c>
      <c r="BF69" s="17"/>
      <c r="BG69" s="35">
        <v>0</v>
      </c>
      <c r="BH69" s="17"/>
      <c r="BI69" s="17"/>
      <c r="BJ69" s="17"/>
      <c r="BK69" s="35">
        <f t="shared" si="17"/>
        <v>0</v>
      </c>
      <c r="BL69" s="79"/>
    </row>
    <row r="70" spans="1:64" ht="12.75" hidden="1">
      <c r="A70" s="77" t="s">
        <v>97</v>
      </c>
      <c r="B70" s="77"/>
      <c r="C70" s="35">
        <f t="shared" si="9"/>
        <v>0</v>
      </c>
      <c r="D70" s="35"/>
      <c r="E70" s="35">
        <v>0</v>
      </c>
      <c r="F70" s="35"/>
      <c r="G70" s="35">
        <v>0</v>
      </c>
      <c r="H70" s="35"/>
      <c r="I70" s="35">
        <f t="shared" si="10"/>
        <v>0</v>
      </c>
      <c r="J70" s="35"/>
      <c r="K70" s="35">
        <f t="shared" si="11"/>
        <v>0</v>
      </c>
      <c r="L70" s="35"/>
      <c r="M70" s="35">
        <v>0</v>
      </c>
      <c r="N70" s="35"/>
      <c r="O70" s="35">
        <v>0</v>
      </c>
      <c r="P70" s="35"/>
      <c r="Q70" s="35">
        <v>0</v>
      </c>
      <c r="R70" s="35"/>
      <c r="S70" s="35">
        <v>0</v>
      </c>
      <c r="T70" s="35"/>
      <c r="U70" s="35">
        <f t="shared" si="12"/>
        <v>0</v>
      </c>
      <c r="V70" s="35"/>
      <c r="W70" s="35">
        <f t="shared" si="13"/>
        <v>0</v>
      </c>
      <c r="X70" s="35"/>
      <c r="Y70" s="81" t="s">
        <v>97</v>
      </c>
      <c r="Z70" s="35"/>
      <c r="AA70" s="35">
        <v>0</v>
      </c>
      <c r="AB70" s="17"/>
      <c r="AC70" s="35">
        <v>0</v>
      </c>
      <c r="AD70" s="17"/>
      <c r="AE70" s="35">
        <v>0</v>
      </c>
      <c r="AF70" s="17"/>
      <c r="AG70" s="35">
        <f t="shared" si="14"/>
        <v>0</v>
      </c>
      <c r="AH70" s="40"/>
      <c r="AI70" s="35">
        <v>0</v>
      </c>
      <c r="AJ70" s="40"/>
      <c r="AK70" s="35">
        <v>0</v>
      </c>
      <c r="AL70" s="17"/>
      <c r="AM70" s="35">
        <v>0</v>
      </c>
      <c r="AN70" s="17"/>
      <c r="AO70" s="35">
        <v>0</v>
      </c>
      <c r="AP70" s="17"/>
      <c r="AQ70" s="35">
        <f t="shared" si="15"/>
        <v>0</v>
      </c>
      <c r="AR70" s="40"/>
      <c r="AS70" s="17">
        <v>0</v>
      </c>
      <c r="AT70" s="17"/>
      <c r="AU70" s="17">
        <v>0</v>
      </c>
      <c r="AV70" s="17"/>
      <c r="AW70" s="35">
        <f t="shared" si="16"/>
        <v>0</v>
      </c>
      <c r="AX70" s="17"/>
      <c r="AY70" s="81" t="s">
        <v>97</v>
      </c>
      <c r="AZ70" s="17"/>
      <c r="BA70" s="35">
        <v>0</v>
      </c>
      <c r="BB70" s="17"/>
      <c r="BC70" s="35">
        <v>0</v>
      </c>
      <c r="BD70" s="17"/>
      <c r="BE70" s="35">
        <v>0</v>
      </c>
      <c r="BF70" s="17"/>
      <c r="BG70" s="35">
        <v>0</v>
      </c>
      <c r="BH70" s="17"/>
      <c r="BI70" s="17"/>
      <c r="BJ70" s="17"/>
      <c r="BK70" s="35">
        <f t="shared" si="17"/>
        <v>0</v>
      </c>
      <c r="BL70" s="17"/>
    </row>
    <row r="71" spans="1:64" ht="12.75">
      <c r="A71" s="77" t="s">
        <v>61</v>
      </c>
      <c r="B71" s="77"/>
      <c r="C71" s="35">
        <f t="shared" si="9"/>
        <v>10112074</v>
      </c>
      <c r="D71" s="35"/>
      <c r="E71" s="35">
        <v>34723238</v>
      </c>
      <c r="F71" s="35"/>
      <c r="G71" s="35">
        <v>44835312</v>
      </c>
      <c r="H71" s="35"/>
      <c r="I71" s="35">
        <f t="shared" si="10"/>
        <v>1116931</v>
      </c>
      <c r="J71" s="35"/>
      <c r="K71" s="35">
        <f t="shared" si="11"/>
        <v>17568344</v>
      </c>
      <c r="L71" s="35"/>
      <c r="M71" s="35">
        <v>18685275</v>
      </c>
      <c r="N71" s="35"/>
      <c r="O71" s="35">
        <v>21086857</v>
      </c>
      <c r="P71" s="35"/>
      <c r="Q71" s="35">
        <v>0</v>
      </c>
      <c r="R71" s="35"/>
      <c r="S71" s="35">
        <v>5063180</v>
      </c>
      <c r="T71" s="35"/>
      <c r="U71" s="35">
        <f t="shared" si="12"/>
        <v>26150037</v>
      </c>
      <c r="V71" s="35"/>
      <c r="W71" s="35">
        <f t="shared" si="13"/>
        <v>0</v>
      </c>
      <c r="X71" s="35"/>
      <c r="Y71" s="81" t="s">
        <v>61</v>
      </c>
      <c r="Z71" s="35"/>
      <c r="AA71" s="35">
        <v>2297231</v>
      </c>
      <c r="AB71" s="17"/>
      <c r="AC71" s="35">
        <f>2371419-857870</f>
        <v>1513549</v>
      </c>
      <c r="AD71" s="17"/>
      <c r="AE71" s="35">
        <v>857870</v>
      </c>
      <c r="AF71" s="17"/>
      <c r="AG71" s="35">
        <f t="shared" si="14"/>
        <v>-74188</v>
      </c>
      <c r="AH71" s="40"/>
      <c r="AI71" s="35">
        <v>-941256</v>
      </c>
      <c r="AJ71" s="40"/>
      <c r="AK71" s="35">
        <v>1083</v>
      </c>
      <c r="AL71" s="17"/>
      <c r="AM71" s="35">
        <v>49589</v>
      </c>
      <c r="AN71" s="17"/>
      <c r="AO71" s="35">
        <v>1265105</v>
      </c>
      <c r="AP71" s="17"/>
      <c r="AQ71" s="35">
        <f t="shared" si="15"/>
        <v>201155</v>
      </c>
      <c r="AR71" s="40"/>
      <c r="AS71" s="17">
        <v>0</v>
      </c>
      <c r="AT71" s="17"/>
      <c r="AU71" s="17">
        <v>0</v>
      </c>
      <c r="AV71" s="17"/>
      <c r="AW71" s="35">
        <f t="shared" si="16"/>
        <v>8995143</v>
      </c>
      <c r="AX71" s="17"/>
      <c r="AY71" s="81" t="s">
        <v>61</v>
      </c>
      <c r="AZ71" s="17"/>
      <c r="BA71" s="35">
        <v>11213207</v>
      </c>
      <c r="BB71" s="17"/>
      <c r="BC71" s="35">
        <v>517100</v>
      </c>
      <c r="BD71" s="17"/>
      <c r="BE71" s="35">
        <v>190416</v>
      </c>
      <c r="BF71" s="17"/>
      <c r="BG71" s="35">
        <f>12621+5635000</f>
        <v>5647621</v>
      </c>
      <c r="BH71" s="17"/>
      <c r="BI71" s="17"/>
      <c r="BJ71" s="17"/>
      <c r="BK71" s="35">
        <f t="shared" si="17"/>
        <v>17568344</v>
      </c>
      <c r="BL71" s="79"/>
    </row>
    <row r="72" spans="1:64" ht="12.75">
      <c r="A72" s="77" t="s">
        <v>63</v>
      </c>
      <c r="B72" s="77"/>
      <c r="C72" s="35">
        <f t="shared" si="9"/>
        <v>10436230</v>
      </c>
      <c r="D72" s="35"/>
      <c r="E72" s="35">
        <f>29132935+32527405</f>
        <v>61660340</v>
      </c>
      <c r="F72" s="35"/>
      <c r="G72" s="35">
        <f>36181612+35914958</f>
        <v>72096570</v>
      </c>
      <c r="H72" s="35"/>
      <c r="I72" s="35">
        <f t="shared" si="10"/>
        <v>1128751</v>
      </c>
      <c r="J72" s="35"/>
      <c r="K72" s="35">
        <f t="shared" si="11"/>
        <v>16674967</v>
      </c>
      <c r="L72" s="35"/>
      <c r="M72" s="35">
        <f>9602600+8201118</f>
        <v>17803718</v>
      </c>
      <c r="N72" s="35"/>
      <c r="O72" s="35">
        <f>19762184+24489367</f>
        <v>44251551</v>
      </c>
      <c r="P72" s="35"/>
      <c r="Q72" s="35">
        <f>1116290+1340737+583584+1503732+179748+111517</f>
        <v>4835608</v>
      </c>
      <c r="R72" s="35"/>
      <c r="S72" s="35">
        <f>3776217+1429476</f>
        <v>5205693</v>
      </c>
      <c r="T72" s="35"/>
      <c r="U72" s="35">
        <f t="shared" si="12"/>
        <v>54292852</v>
      </c>
      <c r="V72" s="35"/>
      <c r="W72" s="35">
        <f t="shared" si="13"/>
        <v>0</v>
      </c>
      <c r="X72" s="35"/>
      <c r="Y72" s="81" t="s">
        <v>63</v>
      </c>
      <c r="Z72" s="35"/>
      <c r="AA72" s="35">
        <f>2343731+2222622</f>
        <v>4566353</v>
      </c>
      <c r="AB72" s="17"/>
      <c r="AC72" s="35">
        <f>+1998307+2389379-928953-1183300</f>
        <v>2275433</v>
      </c>
      <c r="AD72" s="17"/>
      <c r="AE72" s="35">
        <f>928953+1183300</f>
        <v>2112253</v>
      </c>
      <c r="AF72" s="17"/>
      <c r="AG72" s="35">
        <f t="shared" si="14"/>
        <v>178667</v>
      </c>
      <c r="AH72" s="40"/>
      <c r="AI72" s="35">
        <f>-300435-808415</f>
        <v>-1108850</v>
      </c>
      <c r="AJ72" s="40"/>
      <c r="AK72" s="35">
        <f>1303421+211056</f>
        <v>1514477</v>
      </c>
      <c r="AL72" s="17"/>
      <c r="AM72" s="35">
        <v>75603</v>
      </c>
      <c r="AN72" s="17"/>
      <c r="AO72" s="35">
        <f>147345+610464</f>
        <v>757809</v>
      </c>
      <c r="AP72" s="17"/>
      <c r="AQ72" s="35">
        <f t="shared" si="15"/>
        <v>1266500</v>
      </c>
      <c r="AR72" s="40"/>
      <c r="AS72" s="17">
        <v>0</v>
      </c>
      <c r="AT72" s="17"/>
      <c r="AU72" s="17">
        <v>0</v>
      </c>
      <c r="AV72" s="17"/>
      <c r="AW72" s="35">
        <f t="shared" si="16"/>
        <v>9307479</v>
      </c>
      <c r="AX72" s="17"/>
      <c r="AY72" s="81" t="s">
        <v>63</v>
      </c>
      <c r="AZ72" s="17"/>
      <c r="BA72" s="35">
        <f>3474282+6810138</f>
        <v>10284420</v>
      </c>
      <c r="BB72" s="17"/>
      <c r="BC72" s="35">
        <v>738000</v>
      </c>
      <c r="BD72" s="17"/>
      <c r="BE72" s="35">
        <f>4910024+348184+87862+225024+38209</f>
        <v>5609303</v>
      </c>
      <c r="BF72" s="17"/>
      <c r="BG72" s="35">
        <f>20924+22320</f>
        <v>43244</v>
      </c>
      <c r="BH72" s="17"/>
      <c r="BI72" s="17"/>
      <c r="BJ72" s="17"/>
      <c r="BK72" s="35">
        <f t="shared" si="17"/>
        <v>16674967</v>
      </c>
      <c r="BL72" s="79"/>
    </row>
    <row r="73" spans="1:64" ht="12.75" hidden="1">
      <c r="A73" s="77" t="s">
        <v>132</v>
      </c>
      <c r="B73" s="77"/>
      <c r="C73" s="35">
        <f t="shared" si="9"/>
        <v>0</v>
      </c>
      <c r="D73" s="35"/>
      <c r="E73" s="35">
        <v>0</v>
      </c>
      <c r="F73" s="35"/>
      <c r="G73" s="35">
        <v>0</v>
      </c>
      <c r="H73" s="35"/>
      <c r="I73" s="35">
        <f t="shared" si="10"/>
        <v>0</v>
      </c>
      <c r="J73" s="35"/>
      <c r="K73" s="35">
        <f t="shared" si="11"/>
        <v>0</v>
      </c>
      <c r="L73" s="35"/>
      <c r="M73" s="35">
        <v>0</v>
      </c>
      <c r="N73" s="35"/>
      <c r="O73" s="35">
        <v>0</v>
      </c>
      <c r="P73" s="35"/>
      <c r="Q73" s="35">
        <v>0</v>
      </c>
      <c r="R73" s="35"/>
      <c r="S73" s="35">
        <v>0</v>
      </c>
      <c r="T73" s="35"/>
      <c r="U73" s="35">
        <f t="shared" si="12"/>
        <v>0</v>
      </c>
      <c r="V73" s="35"/>
      <c r="W73" s="35">
        <f t="shared" si="13"/>
        <v>0</v>
      </c>
      <c r="X73" s="35"/>
      <c r="Y73" s="81" t="s">
        <v>132</v>
      </c>
      <c r="Z73" s="35"/>
      <c r="AA73" s="35">
        <v>0</v>
      </c>
      <c r="AB73" s="17"/>
      <c r="AC73" s="35">
        <v>0</v>
      </c>
      <c r="AD73" s="17"/>
      <c r="AE73" s="35">
        <v>0</v>
      </c>
      <c r="AF73" s="17"/>
      <c r="AG73" s="35">
        <f t="shared" si="14"/>
        <v>0</v>
      </c>
      <c r="AH73" s="40"/>
      <c r="AI73" s="35">
        <v>0</v>
      </c>
      <c r="AJ73" s="40"/>
      <c r="AK73" s="35">
        <v>0</v>
      </c>
      <c r="AL73" s="17"/>
      <c r="AM73" s="35">
        <v>0</v>
      </c>
      <c r="AN73" s="17"/>
      <c r="AO73" s="35">
        <v>0</v>
      </c>
      <c r="AP73" s="17"/>
      <c r="AQ73" s="35">
        <f t="shared" si="15"/>
        <v>0</v>
      </c>
      <c r="AR73" s="40"/>
      <c r="AS73" s="17">
        <v>0</v>
      </c>
      <c r="AT73" s="17"/>
      <c r="AU73" s="17">
        <v>0</v>
      </c>
      <c r="AV73" s="17"/>
      <c r="AW73" s="35">
        <f t="shared" si="16"/>
        <v>0</v>
      </c>
      <c r="AX73" s="35"/>
      <c r="AY73" s="81" t="s">
        <v>132</v>
      </c>
      <c r="AZ73" s="35"/>
      <c r="BA73" s="35">
        <v>0</v>
      </c>
      <c r="BB73" s="17"/>
      <c r="BC73" s="35">
        <v>0</v>
      </c>
      <c r="BD73" s="17"/>
      <c r="BE73" s="35">
        <v>0</v>
      </c>
      <c r="BF73" s="17"/>
      <c r="BG73" s="35">
        <v>0</v>
      </c>
      <c r="BH73" s="17"/>
      <c r="BI73" s="17"/>
      <c r="BJ73" s="17"/>
      <c r="BK73" s="35">
        <f t="shared" si="17"/>
        <v>0</v>
      </c>
      <c r="BL73" s="79"/>
    </row>
    <row r="74" spans="1:64" ht="12.75" hidden="1">
      <c r="A74" s="77" t="s">
        <v>64</v>
      </c>
      <c r="B74" s="77"/>
      <c r="C74" s="35">
        <f t="shared" si="9"/>
        <v>0</v>
      </c>
      <c r="D74" s="35"/>
      <c r="E74" s="35">
        <v>0</v>
      </c>
      <c r="F74" s="35"/>
      <c r="G74" s="35">
        <v>0</v>
      </c>
      <c r="H74" s="35"/>
      <c r="I74" s="35">
        <f t="shared" si="10"/>
        <v>0</v>
      </c>
      <c r="J74" s="35"/>
      <c r="K74" s="35">
        <f t="shared" si="11"/>
        <v>0</v>
      </c>
      <c r="L74" s="35"/>
      <c r="M74" s="35">
        <v>0</v>
      </c>
      <c r="N74" s="35"/>
      <c r="O74" s="35">
        <v>0</v>
      </c>
      <c r="P74" s="35"/>
      <c r="Q74" s="35">
        <v>0</v>
      </c>
      <c r="R74" s="35"/>
      <c r="S74" s="35">
        <v>0</v>
      </c>
      <c r="T74" s="35"/>
      <c r="U74" s="35">
        <f t="shared" si="12"/>
        <v>0</v>
      </c>
      <c r="V74" s="35"/>
      <c r="W74" s="35">
        <f t="shared" si="13"/>
        <v>0</v>
      </c>
      <c r="X74" s="35"/>
      <c r="Y74" s="81" t="s">
        <v>64</v>
      </c>
      <c r="Z74" s="35"/>
      <c r="AA74" s="35">
        <v>0</v>
      </c>
      <c r="AB74" s="17"/>
      <c r="AC74" s="35">
        <v>0</v>
      </c>
      <c r="AD74" s="17"/>
      <c r="AE74" s="35">
        <v>0</v>
      </c>
      <c r="AF74" s="17"/>
      <c r="AG74" s="35">
        <f t="shared" si="14"/>
        <v>0</v>
      </c>
      <c r="AH74" s="40"/>
      <c r="AI74" s="35">
        <v>0</v>
      </c>
      <c r="AJ74" s="40"/>
      <c r="AK74" s="35">
        <v>0</v>
      </c>
      <c r="AL74" s="17"/>
      <c r="AM74" s="35">
        <v>0</v>
      </c>
      <c r="AN74" s="17"/>
      <c r="AO74" s="35">
        <v>0</v>
      </c>
      <c r="AP74" s="17"/>
      <c r="AQ74" s="35">
        <f t="shared" si="15"/>
        <v>0</v>
      </c>
      <c r="AR74" s="40"/>
      <c r="AS74" s="17">
        <v>0</v>
      </c>
      <c r="AT74" s="17"/>
      <c r="AU74" s="17">
        <v>0</v>
      </c>
      <c r="AV74" s="17"/>
      <c r="AW74" s="35">
        <f t="shared" si="16"/>
        <v>0</v>
      </c>
      <c r="AX74" s="35"/>
      <c r="AY74" s="81" t="s">
        <v>64</v>
      </c>
      <c r="AZ74" s="35"/>
      <c r="BA74" s="35">
        <v>0</v>
      </c>
      <c r="BB74" s="17"/>
      <c r="BC74" s="35">
        <v>0</v>
      </c>
      <c r="BD74" s="17"/>
      <c r="BE74" s="35">
        <v>0</v>
      </c>
      <c r="BF74" s="17"/>
      <c r="BG74" s="35">
        <v>0</v>
      </c>
      <c r="BH74" s="17"/>
      <c r="BI74" s="17"/>
      <c r="BJ74" s="17"/>
      <c r="BK74" s="35">
        <f t="shared" si="17"/>
        <v>0</v>
      </c>
      <c r="BL74" s="79"/>
    </row>
    <row r="75" spans="1:64" ht="12.75">
      <c r="A75" s="77" t="s">
        <v>65</v>
      </c>
      <c r="B75" s="77"/>
      <c r="C75" s="35">
        <f t="shared" si="9"/>
        <v>424081</v>
      </c>
      <c r="D75" s="35"/>
      <c r="E75" s="35">
        <v>2395282</v>
      </c>
      <c r="F75" s="35"/>
      <c r="G75" s="35">
        <v>2819363</v>
      </c>
      <c r="H75" s="35"/>
      <c r="I75" s="35">
        <f t="shared" si="10"/>
        <v>125470</v>
      </c>
      <c r="J75" s="35"/>
      <c r="K75" s="35">
        <f t="shared" si="11"/>
        <v>2225833</v>
      </c>
      <c r="L75" s="35"/>
      <c r="M75" s="35">
        <v>2351303</v>
      </c>
      <c r="N75" s="35"/>
      <c r="O75" s="35">
        <v>49143</v>
      </c>
      <c r="P75" s="35"/>
      <c r="Q75" s="35">
        <v>0</v>
      </c>
      <c r="R75" s="35"/>
      <c r="S75" s="35">
        <v>418917</v>
      </c>
      <c r="T75" s="35"/>
      <c r="U75" s="35">
        <f t="shared" si="12"/>
        <v>468060</v>
      </c>
      <c r="V75" s="35"/>
      <c r="W75" s="35">
        <f t="shared" si="13"/>
        <v>0</v>
      </c>
      <c r="X75" s="35"/>
      <c r="Y75" s="81" t="s">
        <v>65</v>
      </c>
      <c r="Z75" s="35"/>
      <c r="AA75" s="35">
        <v>450916</v>
      </c>
      <c r="AB75" s="17"/>
      <c r="AC75" s="35">
        <f>341252-22194</f>
        <v>319058</v>
      </c>
      <c r="AD75" s="17"/>
      <c r="AE75" s="35">
        <v>22194</v>
      </c>
      <c r="AF75" s="17"/>
      <c r="AG75" s="35">
        <f t="shared" si="14"/>
        <v>109664</v>
      </c>
      <c r="AH75" s="40"/>
      <c r="AI75" s="35">
        <v>0</v>
      </c>
      <c r="AJ75" s="40"/>
      <c r="AK75" s="35">
        <v>0</v>
      </c>
      <c r="AL75" s="17"/>
      <c r="AM75" s="35">
        <v>0</v>
      </c>
      <c r="AN75" s="17"/>
      <c r="AO75" s="35">
        <v>0</v>
      </c>
      <c r="AP75" s="17"/>
      <c r="AQ75" s="35">
        <f t="shared" si="15"/>
        <v>109664</v>
      </c>
      <c r="AR75" s="40"/>
      <c r="AS75" s="17">
        <v>0</v>
      </c>
      <c r="AT75" s="17"/>
      <c r="AU75" s="17">
        <v>0</v>
      </c>
      <c r="AV75" s="17"/>
      <c r="AW75" s="35">
        <f t="shared" si="16"/>
        <v>298611</v>
      </c>
      <c r="AX75" s="17"/>
      <c r="AY75" s="81" t="s">
        <v>65</v>
      </c>
      <c r="AZ75" s="17"/>
      <c r="BA75" s="35">
        <v>0</v>
      </c>
      <c r="BB75" s="17"/>
      <c r="BC75" s="35">
        <v>0</v>
      </c>
      <c r="BD75" s="17"/>
      <c r="BE75" s="35">
        <f>320000+1905833</f>
        <v>2225833</v>
      </c>
      <c r="BF75" s="17"/>
      <c r="BG75" s="35">
        <v>0</v>
      </c>
      <c r="BH75" s="17"/>
      <c r="BI75" s="17"/>
      <c r="BJ75" s="17"/>
      <c r="BK75" s="35">
        <f t="shared" si="17"/>
        <v>2225833</v>
      </c>
      <c r="BL75" s="79"/>
    </row>
    <row r="76" spans="1:64" ht="12.75">
      <c r="A76" s="77" t="s">
        <v>66</v>
      </c>
      <c r="B76" s="77"/>
      <c r="C76" s="35">
        <f t="shared" si="9"/>
        <v>445414</v>
      </c>
      <c r="D76" s="35"/>
      <c r="E76" s="35">
        <v>1636051</v>
      </c>
      <c r="F76" s="35"/>
      <c r="G76" s="35">
        <v>2081465</v>
      </c>
      <c r="H76" s="35"/>
      <c r="I76" s="35">
        <f t="shared" si="10"/>
        <v>14546</v>
      </c>
      <c r="J76" s="35"/>
      <c r="K76" s="35">
        <f t="shared" si="11"/>
        <v>30435</v>
      </c>
      <c r="L76" s="35"/>
      <c r="M76" s="35">
        <v>44981</v>
      </c>
      <c r="N76" s="35"/>
      <c r="O76" s="35">
        <v>1620401</v>
      </c>
      <c r="P76" s="35"/>
      <c r="Q76" s="35">
        <v>0</v>
      </c>
      <c r="R76" s="35"/>
      <c r="S76" s="35">
        <v>416083</v>
      </c>
      <c r="T76" s="35"/>
      <c r="U76" s="35">
        <f t="shared" si="12"/>
        <v>2036484</v>
      </c>
      <c r="V76" s="35"/>
      <c r="W76" s="35">
        <f t="shared" si="13"/>
        <v>0</v>
      </c>
      <c r="X76" s="35"/>
      <c r="Y76" s="81" t="s">
        <v>66</v>
      </c>
      <c r="Z76" s="35"/>
      <c r="AA76" s="35">
        <v>428960</v>
      </c>
      <c r="AB76" s="17"/>
      <c r="AC76" s="35">
        <f>633783-69260</f>
        <v>564523</v>
      </c>
      <c r="AD76" s="17"/>
      <c r="AE76" s="35">
        <v>69260</v>
      </c>
      <c r="AF76" s="17"/>
      <c r="AG76" s="35">
        <f t="shared" si="14"/>
        <v>-204823</v>
      </c>
      <c r="AH76" s="40"/>
      <c r="AI76" s="35">
        <v>20050</v>
      </c>
      <c r="AJ76" s="40"/>
      <c r="AK76" s="35">
        <v>0</v>
      </c>
      <c r="AL76" s="17"/>
      <c r="AM76" s="35">
        <v>0</v>
      </c>
      <c r="AN76" s="17"/>
      <c r="AO76" s="35">
        <v>59400</v>
      </c>
      <c r="AP76" s="17"/>
      <c r="AQ76" s="35">
        <f t="shared" si="15"/>
        <v>-125373</v>
      </c>
      <c r="AR76" s="40"/>
      <c r="AS76" s="17">
        <v>0</v>
      </c>
      <c r="AT76" s="17"/>
      <c r="AU76" s="17">
        <v>0</v>
      </c>
      <c r="AV76" s="17"/>
      <c r="AW76" s="35">
        <f t="shared" si="16"/>
        <v>430868</v>
      </c>
      <c r="AX76" s="17"/>
      <c r="AY76" s="81" t="s">
        <v>66</v>
      </c>
      <c r="AZ76" s="17"/>
      <c r="BA76" s="35">
        <v>0</v>
      </c>
      <c r="BB76" s="17"/>
      <c r="BC76" s="35">
        <v>0</v>
      </c>
      <c r="BD76" s="17"/>
      <c r="BE76" s="35">
        <v>0</v>
      </c>
      <c r="BF76" s="17"/>
      <c r="BG76" s="35">
        <v>30435</v>
      </c>
      <c r="BH76" s="17"/>
      <c r="BI76" s="17"/>
      <c r="BJ76" s="17"/>
      <c r="BK76" s="35">
        <f t="shared" si="17"/>
        <v>30435</v>
      </c>
      <c r="BL76" s="79"/>
    </row>
    <row r="77" spans="1:64" ht="12.75">
      <c r="A77" s="77" t="s">
        <v>67</v>
      </c>
      <c r="B77" s="77"/>
      <c r="C77" s="35">
        <f>+G77-E77</f>
        <v>19200958</v>
      </c>
      <c r="D77" s="35"/>
      <c r="E77" s="35">
        <f>49604988+24543194</f>
        <v>74148182</v>
      </c>
      <c r="F77" s="35"/>
      <c r="G77" s="35">
        <f>61391526+31957614</f>
        <v>93349140</v>
      </c>
      <c r="H77" s="35"/>
      <c r="I77" s="35">
        <f>M77-K77</f>
        <v>4784185</v>
      </c>
      <c r="J77" s="35"/>
      <c r="K77" s="35">
        <f>SUM(BK77)</f>
        <v>27487801</v>
      </c>
      <c r="L77" s="35"/>
      <c r="M77" s="35">
        <f>23230469+9041517</f>
        <v>32271986</v>
      </c>
      <c r="N77" s="35"/>
      <c r="O77" s="35">
        <f>27143381+13716404</f>
        <v>40859785</v>
      </c>
      <c r="P77" s="35"/>
      <c r="Q77" s="35">
        <f>56835+2246180</f>
        <v>2303015</v>
      </c>
      <c r="R77" s="35"/>
      <c r="S77" s="35">
        <f>10960841+6953513</f>
        <v>17914354</v>
      </c>
      <c r="T77" s="35"/>
      <c r="U77" s="35">
        <f>SUM(O77:S77)</f>
        <v>61077154</v>
      </c>
      <c r="V77" s="35"/>
      <c r="W77" s="35">
        <f t="shared" si="13"/>
        <v>0</v>
      </c>
      <c r="X77" s="35"/>
      <c r="Y77" s="81" t="s">
        <v>67</v>
      </c>
      <c r="Z77" s="35"/>
      <c r="AA77" s="35">
        <f>7178467+3642309</f>
        <v>10820776</v>
      </c>
      <c r="AB77" s="17"/>
      <c r="AC77" s="35">
        <f>4555934-943514+2851736-649569</f>
        <v>5814587</v>
      </c>
      <c r="AD77" s="17"/>
      <c r="AE77" s="35">
        <f>943514+649569</f>
        <v>1593083</v>
      </c>
      <c r="AF77" s="17"/>
      <c r="AG77" s="35">
        <f t="shared" si="14"/>
        <v>3413106</v>
      </c>
      <c r="AH77" s="40"/>
      <c r="AI77" s="35">
        <f>-541680+417037</f>
        <v>-124643</v>
      </c>
      <c r="AJ77" s="40"/>
      <c r="AK77" s="35">
        <v>0</v>
      </c>
      <c r="AL77" s="17"/>
      <c r="AM77" s="35">
        <v>0</v>
      </c>
      <c r="AN77" s="17"/>
      <c r="AO77" s="35">
        <v>0</v>
      </c>
      <c r="AP77" s="17"/>
      <c r="AQ77" s="35">
        <f t="shared" si="15"/>
        <v>3288463</v>
      </c>
      <c r="AR77" s="40"/>
      <c r="AS77" s="17">
        <v>0</v>
      </c>
      <c r="AT77" s="17"/>
      <c r="AU77" s="17">
        <v>0</v>
      </c>
      <c r="AV77" s="17"/>
      <c r="AW77" s="35">
        <f t="shared" si="16"/>
        <v>14416773</v>
      </c>
      <c r="AX77" s="17"/>
      <c r="AY77" s="81" t="s">
        <v>67</v>
      </c>
      <c r="AZ77" s="17"/>
      <c r="BA77" s="35">
        <v>0</v>
      </c>
      <c r="BB77" s="17"/>
      <c r="BC77" s="35">
        <f>9199917+557957</f>
        <v>9757874</v>
      </c>
      <c r="BD77" s="17"/>
      <c r="BE77" s="35">
        <f>737542+937571+105730+7490197</f>
        <v>9271040</v>
      </c>
      <c r="BF77" s="17"/>
      <c r="BG77" s="35">
        <f>141890+8291248+25749</f>
        <v>8458887</v>
      </c>
      <c r="BH77" s="17"/>
      <c r="BI77" s="17"/>
      <c r="BJ77" s="17"/>
      <c r="BK77" s="35">
        <f t="shared" si="17"/>
        <v>27487801</v>
      </c>
      <c r="BL77" s="79"/>
    </row>
    <row r="78" spans="1:64" ht="12.75">
      <c r="A78" s="77" t="s">
        <v>68</v>
      </c>
      <c r="B78" s="77"/>
      <c r="C78" s="35">
        <f aca="true" t="shared" si="18" ref="C78:C97">+G78-E78</f>
        <v>195242</v>
      </c>
      <c r="D78" s="35"/>
      <c r="E78" s="35">
        <v>1362854</v>
      </c>
      <c r="F78" s="35"/>
      <c r="G78" s="35">
        <v>1558096</v>
      </c>
      <c r="H78" s="35"/>
      <c r="I78" s="35">
        <f aca="true" t="shared" si="19" ref="I78:I97">M78-K78</f>
        <v>60325</v>
      </c>
      <c r="J78" s="35"/>
      <c r="K78" s="35">
        <f aca="true" t="shared" si="20" ref="K78:K97">SUM(BK78)</f>
        <v>858957</v>
      </c>
      <c r="L78" s="35"/>
      <c r="M78" s="35">
        <v>919282</v>
      </c>
      <c r="N78" s="35"/>
      <c r="O78" s="35">
        <v>450141</v>
      </c>
      <c r="P78" s="35"/>
      <c r="Q78" s="35">
        <v>0</v>
      </c>
      <c r="R78" s="35"/>
      <c r="S78" s="35">
        <v>188673</v>
      </c>
      <c r="T78" s="35"/>
      <c r="U78" s="35">
        <f aca="true" t="shared" si="21" ref="U78:U97">SUM(O78:S78)</f>
        <v>638814</v>
      </c>
      <c r="V78" s="35"/>
      <c r="W78" s="35">
        <f t="shared" si="13"/>
        <v>0</v>
      </c>
      <c r="X78" s="35"/>
      <c r="Y78" s="81" t="s">
        <v>68</v>
      </c>
      <c r="Z78" s="35"/>
      <c r="AA78" s="35">
        <v>141168</v>
      </c>
      <c r="AB78" s="17"/>
      <c r="AC78" s="35">
        <f>90021-15963</f>
        <v>74058</v>
      </c>
      <c r="AD78" s="17"/>
      <c r="AE78" s="35">
        <v>15963</v>
      </c>
      <c r="AF78" s="17"/>
      <c r="AG78" s="35">
        <f t="shared" si="14"/>
        <v>51147</v>
      </c>
      <c r="AH78" s="40"/>
      <c r="AI78" s="35">
        <v>0</v>
      </c>
      <c r="AJ78" s="40"/>
      <c r="AK78" s="35">
        <v>0</v>
      </c>
      <c r="AL78" s="17"/>
      <c r="AM78" s="35">
        <v>0</v>
      </c>
      <c r="AN78" s="17"/>
      <c r="AO78" s="35">
        <v>0</v>
      </c>
      <c r="AP78" s="17"/>
      <c r="AQ78" s="35">
        <f t="shared" si="15"/>
        <v>51147</v>
      </c>
      <c r="AR78" s="40"/>
      <c r="AS78" s="17">
        <v>0</v>
      </c>
      <c r="AT78" s="17"/>
      <c r="AU78" s="17">
        <v>0</v>
      </c>
      <c r="AV78" s="17"/>
      <c r="AW78" s="35">
        <f t="shared" si="16"/>
        <v>134917</v>
      </c>
      <c r="AX78" s="17"/>
      <c r="AY78" s="81" t="s">
        <v>68</v>
      </c>
      <c r="AZ78" s="17"/>
      <c r="BA78" s="35">
        <v>0</v>
      </c>
      <c r="BB78" s="17"/>
      <c r="BC78" s="35">
        <v>0</v>
      </c>
      <c r="BD78" s="17"/>
      <c r="BE78" s="35">
        <f>170496+688461</f>
        <v>858957</v>
      </c>
      <c r="BF78" s="17"/>
      <c r="BG78" s="35">
        <v>0</v>
      </c>
      <c r="BH78" s="17"/>
      <c r="BI78" s="17"/>
      <c r="BJ78" s="17"/>
      <c r="BK78" s="35">
        <f t="shared" si="17"/>
        <v>858957</v>
      </c>
      <c r="BL78" s="79"/>
    </row>
    <row r="79" spans="1:64" ht="12.75" hidden="1">
      <c r="A79" s="77" t="s">
        <v>176</v>
      </c>
      <c r="B79" s="77"/>
      <c r="C79" s="35">
        <f t="shared" si="18"/>
        <v>0</v>
      </c>
      <c r="D79" s="35"/>
      <c r="E79" s="35">
        <v>0</v>
      </c>
      <c r="F79" s="35"/>
      <c r="G79" s="35">
        <v>0</v>
      </c>
      <c r="H79" s="35"/>
      <c r="I79" s="35">
        <f t="shared" si="19"/>
        <v>0</v>
      </c>
      <c r="J79" s="35"/>
      <c r="K79" s="35">
        <f t="shared" si="20"/>
        <v>0</v>
      </c>
      <c r="L79" s="35"/>
      <c r="M79" s="35">
        <v>0</v>
      </c>
      <c r="N79" s="35"/>
      <c r="O79" s="35">
        <v>0</v>
      </c>
      <c r="P79" s="35"/>
      <c r="Q79" s="35">
        <v>0</v>
      </c>
      <c r="R79" s="35"/>
      <c r="S79" s="35">
        <v>0</v>
      </c>
      <c r="T79" s="35"/>
      <c r="U79" s="35">
        <f t="shared" si="21"/>
        <v>0</v>
      </c>
      <c r="V79" s="35"/>
      <c r="W79" s="35">
        <f t="shared" si="13"/>
        <v>0</v>
      </c>
      <c r="X79" s="35"/>
      <c r="Y79" s="81" t="s">
        <v>176</v>
      </c>
      <c r="Z79" s="35"/>
      <c r="AA79" s="35">
        <v>0</v>
      </c>
      <c r="AB79" s="17"/>
      <c r="AC79" s="35">
        <v>0</v>
      </c>
      <c r="AD79" s="17"/>
      <c r="AE79" s="35">
        <v>0</v>
      </c>
      <c r="AF79" s="17"/>
      <c r="AG79" s="35">
        <f t="shared" si="14"/>
        <v>0</v>
      </c>
      <c r="AH79" s="40"/>
      <c r="AI79" s="35">
        <v>0</v>
      </c>
      <c r="AJ79" s="40"/>
      <c r="AK79" s="35">
        <v>0</v>
      </c>
      <c r="AL79" s="17"/>
      <c r="AM79" s="35">
        <v>0</v>
      </c>
      <c r="AN79" s="17"/>
      <c r="AO79" s="35">
        <v>0</v>
      </c>
      <c r="AP79" s="17"/>
      <c r="AQ79" s="35">
        <f t="shared" si="15"/>
        <v>0</v>
      </c>
      <c r="AR79" s="40"/>
      <c r="AS79" s="17">
        <v>0</v>
      </c>
      <c r="AT79" s="17"/>
      <c r="AU79" s="17">
        <v>0</v>
      </c>
      <c r="AV79" s="17"/>
      <c r="AW79" s="35">
        <f t="shared" si="16"/>
        <v>0</v>
      </c>
      <c r="AX79" s="35"/>
      <c r="AY79" s="81" t="s">
        <v>176</v>
      </c>
      <c r="AZ79" s="35"/>
      <c r="BA79" s="35">
        <v>0</v>
      </c>
      <c r="BB79" s="17"/>
      <c r="BC79" s="35">
        <v>0</v>
      </c>
      <c r="BD79" s="17"/>
      <c r="BE79" s="35">
        <v>0</v>
      </c>
      <c r="BF79" s="17"/>
      <c r="BG79" s="35">
        <v>0</v>
      </c>
      <c r="BH79" s="17"/>
      <c r="BI79" s="17"/>
      <c r="BJ79" s="17"/>
      <c r="BK79" s="35">
        <f t="shared" si="17"/>
        <v>0</v>
      </c>
      <c r="BL79" s="79"/>
    </row>
    <row r="80" spans="1:64" ht="12.75">
      <c r="A80" s="77" t="s">
        <v>178</v>
      </c>
      <c r="B80" s="77"/>
      <c r="C80" s="35">
        <f t="shared" si="18"/>
        <v>4289371</v>
      </c>
      <c r="D80" s="35"/>
      <c r="E80" s="35">
        <v>28422571</v>
      </c>
      <c r="F80" s="35"/>
      <c r="G80" s="35">
        <v>32711942</v>
      </c>
      <c r="H80" s="35"/>
      <c r="I80" s="35">
        <f t="shared" si="19"/>
        <v>372877</v>
      </c>
      <c r="J80" s="35"/>
      <c r="K80" s="35">
        <f t="shared" si="20"/>
        <v>3104033</v>
      </c>
      <c r="L80" s="35"/>
      <c r="M80" s="35">
        <v>3476910</v>
      </c>
      <c r="N80" s="35"/>
      <c r="O80" s="35">
        <v>28717571</v>
      </c>
      <c r="P80" s="35"/>
      <c r="Q80" s="35">
        <v>0</v>
      </c>
      <c r="R80" s="35"/>
      <c r="S80" s="35">
        <v>517461</v>
      </c>
      <c r="T80" s="35"/>
      <c r="U80" s="35">
        <f t="shared" si="21"/>
        <v>29235032</v>
      </c>
      <c r="V80" s="35"/>
      <c r="W80" s="35">
        <f t="shared" si="13"/>
        <v>0</v>
      </c>
      <c r="X80" s="35"/>
      <c r="Y80" s="81" t="s">
        <v>178</v>
      </c>
      <c r="Z80" s="35"/>
      <c r="AA80" s="35">
        <v>2904283</v>
      </c>
      <c r="AB80" s="17"/>
      <c r="AC80" s="35">
        <f>1986899-1220155</f>
        <v>766744</v>
      </c>
      <c r="AD80" s="17"/>
      <c r="AE80" s="35">
        <v>1220155</v>
      </c>
      <c r="AF80" s="17"/>
      <c r="AG80" s="35">
        <f t="shared" si="14"/>
        <v>917384</v>
      </c>
      <c r="AH80" s="40"/>
      <c r="AI80" s="35">
        <v>111162</v>
      </c>
      <c r="AJ80" s="40"/>
      <c r="AK80" s="35">
        <v>0</v>
      </c>
      <c r="AL80" s="17"/>
      <c r="AM80" s="35">
        <v>419756</v>
      </c>
      <c r="AN80" s="17"/>
      <c r="AO80" s="35">
        <v>0</v>
      </c>
      <c r="AP80" s="17"/>
      <c r="AQ80" s="35">
        <f t="shared" si="15"/>
        <v>608790</v>
      </c>
      <c r="AR80" s="40"/>
      <c r="AS80" s="17">
        <v>0</v>
      </c>
      <c r="AT80" s="17"/>
      <c r="AU80" s="17">
        <v>0</v>
      </c>
      <c r="AV80" s="17"/>
      <c r="AW80" s="35">
        <f t="shared" si="16"/>
        <v>3916494</v>
      </c>
      <c r="AX80" s="17"/>
      <c r="AY80" s="81" t="s">
        <v>178</v>
      </c>
      <c r="AZ80" s="17"/>
      <c r="BA80" s="35">
        <v>2674800</v>
      </c>
      <c r="BB80" s="17"/>
      <c r="BC80" s="35">
        <v>0</v>
      </c>
      <c r="BD80" s="17"/>
      <c r="BE80" s="35">
        <v>290083</v>
      </c>
      <c r="BF80" s="17"/>
      <c r="BG80" s="35">
        <v>139150</v>
      </c>
      <c r="BH80" s="17"/>
      <c r="BI80" s="17"/>
      <c r="BJ80" s="17"/>
      <c r="BK80" s="35">
        <f t="shared" si="17"/>
        <v>3104033</v>
      </c>
      <c r="BL80" s="79"/>
    </row>
    <row r="81" spans="1:64" ht="12.75">
      <c r="A81" s="77" t="s">
        <v>69</v>
      </c>
      <c r="B81" s="77"/>
      <c r="C81" s="35">
        <f t="shared" si="18"/>
        <v>52507</v>
      </c>
      <c r="D81" s="35"/>
      <c r="E81" s="35">
        <v>106415</v>
      </c>
      <c r="F81" s="35"/>
      <c r="G81" s="35">
        <v>158922</v>
      </c>
      <c r="H81" s="35"/>
      <c r="I81" s="35">
        <f t="shared" si="19"/>
        <v>1474</v>
      </c>
      <c r="J81" s="35"/>
      <c r="K81" s="35">
        <f t="shared" si="20"/>
        <v>0</v>
      </c>
      <c r="L81" s="35"/>
      <c r="M81" s="35">
        <v>1474</v>
      </c>
      <c r="N81" s="35"/>
      <c r="O81" s="35">
        <v>106415</v>
      </c>
      <c r="P81" s="35"/>
      <c r="Q81" s="35">
        <v>0</v>
      </c>
      <c r="R81" s="35"/>
      <c r="S81" s="35">
        <v>51033</v>
      </c>
      <c r="T81" s="35"/>
      <c r="U81" s="35">
        <f t="shared" si="21"/>
        <v>157448</v>
      </c>
      <c r="V81" s="35"/>
      <c r="W81" s="35">
        <f t="shared" si="13"/>
        <v>0</v>
      </c>
      <c r="X81" s="35"/>
      <c r="Y81" s="81" t="s">
        <v>69</v>
      </c>
      <c r="Z81" s="35"/>
      <c r="AA81" s="35">
        <v>55398</v>
      </c>
      <c r="AB81" s="17"/>
      <c r="AC81" s="35">
        <f>62209-5000</f>
        <v>57209</v>
      </c>
      <c r="AD81" s="17"/>
      <c r="AE81" s="35">
        <v>5000</v>
      </c>
      <c r="AF81" s="17"/>
      <c r="AG81" s="35">
        <f t="shared" si="14"/>
        <v>-6811</v>
      </c>
      <c r="AH81" s="40"/>
      <c r="AI81" s="35">
        <v>0</v>
      </c>
      <c r="AJ81" s="40"/>
      <c r="AK81" s="35">
        <v>0</v>
      </c>
      <c r="AL81" s="17"/>
      <c r="AM81" s="35">
        <v>0</v>
      </c>
      <c r="AN81" s="17"/>
      <c r="AO81" s="35">
        <v>0</v>
      </c>
      <c r="AP81" s="17"/>
      <c r="AQ81" s="35">
        <f t="shared" si="15"/>
        <v>-6811</v>
      </c>
      <c r="AR81" s="40"/>
      <c r="AS81" s="17">
        <v>0</v>
      </c>
      <c r="AT81" s="17"/>
      <c r="AU81" s="17">
        <v>0</v>
      </c>
      <c r="AV81" s="17"/>
      <c r="AW81" s="35">
        <f t="shared" si="16"/>
        <v>51033</v>
      </c>
      <c r="AX81" s="17"/>
      <c r="AY81" s="81" t="s">
        <v>69</v>
      </c>
      <c r="AZ81" s="17"/>
      <c r="BA81" s="35">
        <v>0</v>
      </c>
      <c r="BB81" s="17"/>
      <c r="BC81" s="35">
        <v>0</v>
      </c>
      <c r="BD81" s="17"/>
      <c r="BE81" s="35">
        <v>0</v>
      </c>
      <c r="BF81" s="17"/>
      <c r="BG81" s="35">
        <v>0</v>
      </c>
      <c r="BH81" s="17"/>
      <c r="BI81" s="17"/>
      <c r="BJ81" s="17"/>
      <c r="BK81" s="35">
        <f t="shared" si="17"/>
        <v>0</v>
      </c>
      <c r="BL81" s="79"/>
    </row>
    <row r="82" spans="1:64" ht="12.75">
      <c r="A82" s="77" t="s">
        <v>98</v>
      </c>
      <c r="B82" s="77"/>
      <c r="C82" s="35">
        <f t="shared" si="18"/>
        <v>973204</v>
      </c>
      <c r="D82" s="35"/>
      <c r="E82" s="35">
        <v>5137156</v>
      </c>
      <c r="F82" s="35"/>
      <c r="G82" s="35">
        <v>6110360</v>
      </c>
      <c r="H82" s="35"/>
      <c r="I82" s="35">
        <f t="shared" si="19"/>
        <v>235331</v>
      </c>
      <c r="J82" s="35"/>
      <c r="K82" s="35">
        <f t="shared" si="20"/>
        <v>1509915</v>
      </c>
      <c r="L82" s="35"/>
      <c r="M82" s="35">
        <v>1745246</v>
      </c>
      <c r="N82" s="35"/>
      <c r="O82" s="35">
        <v>3501732</v>
      </c>
      <c r="P82" s="35"/>
      <c r="Q82" s="35">
        <v>0</v>
      </c>
      <c r="R82" s="35"/>
      <c r="S82" s="35">
        <v>863382</v>
      </c>
      <c r="T82" s="35"/>
      <c r="U82" s="35">
        <f>SUM(O82:S82)</f>
        <v>4365114</v>
      </c>
      <c r="V82" s="35"/>
      <c r="W82" s="35">
        <f t="shared" si="13"/>
        <v>0</v>
      </c>
      <c r="X82" s="35"/>
      <c r="Y82" s="81" t="s">
        <v>98</v>
      </c>
      <c r="Z82" s="35"/>
      <c r="AA82" s="35">
        <v>1069150</v>
      </c>
      <c r="AB82" s="17"/>
      <c r="AC82" s="35">
        <f>1107927-240989</f>
        <v>866938</v>
      </c>
      <c r="AD82" s="17"/>
      <c r="AE82" s="35">
        <v>240989</v>
      </c>
      <c r="AF82" s="17"/>
      <c r="AG82" s="35">
        <f t="shared" si="14"/>
        <v>-38777</v>
      </c>
      <c r="AH82" s="40"/>
      <c r="AI82" s="35">
        <v>-59118</v>
      </c>
      <c r="AJ82" s="40"/>
      <c r="AK82" s="35">
        <v>28191</v>
      </c>
      <c r="AL82" s="17"/>
      <c r="AM82" s="35">
        <v>0</v>
      </c>
      <c r="AN82" s="17"/>
      <c r="AO82" s="35">
        <v>0</v>
      </c>
      <c r="AP82" s="17"/>
      <c r="AQ82" s="35">
        <f t="shared" si="15"/>
        <v>-69704</v>
      </c>
      <c r="AR82" s="40"/>
      <c r="AS82" s="17">
        <v>0</v>
      </c>
      <c r="AT82" s="17"/>
      <c r="AU82" s="17">
        <v>0</v>
      </c>
      <c r="AV82" s="17"/>
      <c r="AW82" s="35">
        <f t="shared" si="16"/>
        <v>737873</v>
      </c>
      <c r="AX82" s="17"/>
      <c r="AY82" s="81" t="s">
        <v>98</v>
      </c>
      <c r="AZ82" s="17"/>
      <c r="BA82" s="35">
        <v>80000</v>
      </c>
      <c r="BB82" s="17"/>
      <c r="BC82" s="35">
        <v>0</v>
      </c>
      <c r="BD82" s="17"/>
      <c r="BE82" s="35">
        <f>244847+1181934</f>
        <v>1426781</v>
      </c>
      <c r="BF82" s="17"/>
      <c r="BG82" s="35">
        <v>3134</v>
      </c>
      <c r="BH82" s="17"/>
      <c r="BI82" s="17"/>
      <c r="BJ82" s="17"/>
      <c r="BK82" s="35">
        <f t="shared" si="17"/>
        <v>1509915</v>
      </c>
      <c r="BL82" s="79"/>
    </row>
    <row r="83" spans="1:64" ht="12.75">
      <c r="A83" s="77" t="s">
        <v>70</v>
      </c>
      <c r="B83" s="77"/>
      <c r="C83" s="35">
        <f t="shared" si="18"/>
        <v>2887723</v>
      </c>
      <c r="D83" s="35"/>
      <c r="E83" s="35">
        <v>15484497</v>
      </c>
      <c r="F83" s="35"/>
      <c r="G83" s="35">
        <v>18372220</v>
      </c>
      <c r="H83" s="35"/>
      <c r="I83" s="35">
        <f t="shared" si="19"/>
        <v>631030</v>
      </c>
      <c r="J83" s="35"/>
      <c r="K83" s="35">
        <f t="shared" si="20"/>
        <v>7281223</v>
      </c>
      <c r="L83" s="35"/>
      <c r="M83" s="35">
        <v>7912253</v>
      </c>
      <c r="N83" s="35"/>
      <c r="O83" s="35">
        <v>7944587</v>
      </c>
      <c r="P83" s="35"/>
      <c r="Q83" s="35">
        <v>0</v>
      </c>
      <c r="R83" s="35"/>
      <c r="S83" s="35">
        <v>2515380</v>
      </c>
      <c r="T83" s="35"/>
      <c r="U83" s="35">
        <f t="shared" si="21"/>
        <v>10459967</v>
      </c>
      <c r="V83" s="35"/>
      <c r="W83" s="35">
        <f t="shared" si="13"/>
        <v>0</v>
      </c>
      <c r="X83" s="35"/>
      <c r="Y83" s="81" t="s">
        <v>70</v>
      </c>
      <c r="Z83" s="35"/>
      <c r="AA83" s="35">
        <v>2614519</v>
      </c>
      <c r="AB83" s="17"/>
      <c r="AC83" s="35">
        <f>2091652-262477</f>
        <v>1829175</v>
      </c>
      <c r="AD83" s="17"/>
      <c r="AE83" s="35">
        <v>262477</v>
      </c>
      <c r="AF83" s="17"/>
      <c r="AG83" s="35">
        <f t="shared" si="14"/>
        <v>522867</v>
      </c>
      <c r="AH83" s="40"/>
      <c r="AI83" s="35">
        <v>-346036</v>
      </c>
      <c r="AJ83" s="40"/>
      <c r="AK83" s="35">
        <v>20431</v>
      </c>
      <c r="AL83" s="17"/>
      <c r="AM83" s="35">
        <v>0</v>
      </c>
      <c r="AN83" s="17"/>
      <c r="AO83" s="35">
        <v>74896</v>
      </c>
      <c r="AP83" s="17"/>
      <c r="AQ83" s="35">
        <f t="shared" si="15"/>
        <v>272158</v>
      </c>
      <c r="AR83" s="40"/>
      <c r="AS83" s="17">
        <v>0</v>
      </c>
      <c r="AT83" s="17"/>
      <c r="AU83" s="17">
        <v>0</v>
      </c>
      <c r="AV83" s="17"/>
      <c r="AW83" s="35">
        <f t="shared" si="16"/>
        <v>2256693</v>
      </c>
      <c r="AX83" s="17"/>
      <c r="AY83" s="81" t="s">
        <v>70</v>
      </c>
      <c r="AZ83" s="17"/>
      <c r="BA83" s="35">
        <v>3722938</v>
      </c>
      <c r="BB83" s="17"/>
      <c r="BC83" s="35">
        <v>70000</v>
      </c>
      <c r="BD83" s="17"/>
      <c r="BE83" s="35">
        <v>455729</v>
      </c>
      <c r="BF83" s="17"/>
      <c r="BG83" s="35">
        <f>3001084+31472</f>
        <v>3032556</v>
      </c>
      <c r="BH83" s="17"/>
      <c r="BI83" s="17"/>
      <c r="BJ83" s="17"/>
      <c r="BK83" s="35">
        <f t="shared" si="17"/>
        <v>7281223</v>
      </c>
      <c r="BL83" s="79"/>
    </row>
    <row r="84" spans="1:64" ht="12.75">
      <c r="A84" s="77" t="s">
        <v>71</v>
      </c>
      <c r="B84" s="77"/>
      <c r="C84" s="35">
        <f t="shared" si="18"/>
        <v>213662</v>
      </c>
      <c r="D84" s="35"/>
      <c r="E84" s="35">
        <v>1210494</v>
      </c>
      <c r="F84" s="35"/>
      <c r="G84" s="35">
        <v>1424156</v>
      </c>
      <c r="H84" s="35"/>
      <c r="I84" s="35">
        <f t="shared" si="19"/>
        <v>8425</v>
      </c>
      <c r="J84" s="35"/>
      <c r="K84" s="35">
        <f t="shared" si="20"/>
        <v>11977</v>
      </c>
      <c r="L84" s="35"/>
      <c r="M84" s="35">
        <v>20402</v>
      </c>
      <c r="N84" s="35"/>
      <c r="O84" s="35">
        <v>1246506</v>
      </c>
      <c r="P84" s="35"/>
      <c r="Q84" s="35">
        <v>0</v>
      </c>
      <c r="R84" s="35"/>
      <c r="S84" s="35">
        <v>157248</v>
      </c>
      <c r="T84" s="35"/>
      <c r="U84" s="35">
        <f t="shared" si="21"/>
        <v>1403754</v>
      </c>
      <c r="V84" s="35"/>
      <c r="W84" s="35">
        <f t="shared" si="13"/>
        <v>0</v>
      </c>
      <c r="X84" s="35"/>
      <c r="Y84" s="81" t="s">
        <v>71</v>
      </c>
      <c r="Z84" s="35"/>
      <c r="AA84" s="35">
        <v>172607</v>
      </c>
      <c r="AB84" s="17"/>
      <c r="AC84" s="35">
        <f>167614-38861</f>
        <v>128753</v>
      </c>
      <c r="AD84" s="17"/>
      <c r="AE84" s="35">
        <v>38861</v>
      </c>
      <c r="AF84" s="17"/>
      <c r="AG84" s="35">
        <f t="shared" si="14"/>
        <v>4993</v>
      </c>
      <c r="AH84" s="40"/>
      <c r="AI84" s="35">
        <v>260</v>
      </c>
      <c r="AJ84" s="40"/>
      <c r="AK84" s="35">
        <v>0</v>
      </c>
      <c r="AL84" s="17"/>
      <c r="AM84" s="35">
        <v>0</v>
      </c>
      <c r="AN84" s="17"/>
      <c r="AO84" s="35">
        <v>0</v>
      </c>
      <c r="AP84" s="17"/>
      <c r="AQ84" s="35">
        <f t="shared" si="15"/>
        <v>5253</v>
      </c>
      <c r="AR84" s="40"/>
      <c r="AS84" s="17">
        <v>0</v>
      </c>
      <c r="AT84" s="17"/>
      <c r="AU84" s="17">
        <v>0</v>
      </c>
      <c r="AV84" s="17"/>
      <c r="AW84" s="35">
        <f t="shared" si="16"/>
        <v>205237</v>
      </c>
      <c r="AX84" s="17"/>
      <c r="AY84" s="81" t="s">
        <v>71</v>
      </c>
      <c r="AZ84" s="17"/>
      <c r="BA84" s="35">
        <v>0</v>
      </c>
      <c r="BB84" s="17"/>
      <c r="BC84" s="35">
        <v>0</v>
      </c>
      <c r="BD84" s="17"/>
      <c r="BE84" s="35">
        <v>11977</v>
      </c>
      <c r="BF84" s="17"/>
      <c r="BG84" s="35">
        <v>0</v>
      </c>
      <c r="BH84" s="17"/>
      <c r="BI84" s="17"/>
      <c r="BJ84" s="17"/>
      <c r="BK84" s="35">
        <f t="shared" si="17"/>
        <v>11977</v>
      </c>
      <c r="BL84" s="79"/>
    </row>
    <row r="85" spans="1:64" ht="12.75">
      <c r="A85" s="77" t="s">
        <v>72</v>
      </c>
      <c r="B85" s="77"/>
      <c r="C85" s="35">
        <f t="shared" si="18"/>
        <v>356779</v>
      </c>
      <c r="D85" s="35"/>
      <c r="E85" s="35">
        <v>9631115</v>
      </c>
      <c r="F85" s="35"/>
      <c r="G85" s="35">
        <v>9987894</v>
      </c>
      <c r="H85" s="35"/>
      <c r="I85" s="35">
        <f t="shared" si="19"/>
        <v>337391</v>
      </c>
      <c r="J85" s="35"/>
      <c r="K85" s="35">
        <f>SUM(BK85)</f>
        <v>2966399</v>
      </c>
      <c r="L85" s="35"/>
      <c r="M85" s="35">
        <v>3303790</v>
      </c>
      <c r="N85" s="35"/>
      <c r="O85" s="35">
        <v>6200071</v>
      </c>
      <c r="P85" s="35"/>
      <c r="Q85" s="35">
        <v>0</v>
      </c>
      <c r="R85" s="35"/>
      <c r="S85" s="35">
        <v>484033</v>
      </c>
      <c r="T85" s="35"/>
      <c r="U85" s="35">
        <f t="shared" si="21"/>
        <v>6684104</v>
      </c>
      <c r="V85" s="35"/>
      <c r="W85" s="35">
        <f t="shared" si="13"/>
        <v>0</v>
      </c>
      <c r="X85" s="35"/>
      <c r="Y85" s="81" t="s">
        <v>72</v>
      </c>
      <c r="Z85" s="35"/>
      <c r="AA85" s="35">
        <v>733666</v>
      </c>
      <c r="AB85" s="17"/>
      <c r="AC85" s="35">
        <f>925417-241387</f>
        <v>684030</v>
      </c>
      <c r="AD85" s="17"/>
      <c r="AE85" s="35">
        <v>241387</v>
      </c>
      <c r="AF85" s="17"/>
      <c r="AG85" s="35">
        <f t="shared" si="14"/>
        <v>-191751</v>
      </c>
      <c r="AH85" s="40"/>
      <c r="AI85" s="35">
        <v>255941</v>
      </c>
      <c r="AJ85" s="40"/>
      <c r="AK85" s="35">
        <v>350000</v>
      </c>
      <c r="AL85" s="17"/>
      <c r="AM85" s="35">
        <v>0</v>
      </c>
      <c r="AN85" s="17"/>
      <c r="AO85" s="35">
        <v>0</v>
      </c>
      <c r="AP85" s="17"/>
      <c r="AQ85" s="35">
        <f t="shared" si="15"/>
        <v>414190</v>
      </c>
      <c r="AR85" s="40"/>
      <c r="AS85" s="17">
        <v>0</v>
      </c>
      <c r="AT85" s="17"/>
      <c r="AU85" s="17">
        <v>0</v>
      </c>
      <c r="AV85" s="17"/>
      <c r="AW85" s="35">
        <f t="shared" si="16"/>
        <v>19388</v>
      </c>
      <c r="AX85" s="17"/>
      <c r="AY85" s="81" t="s">
        <v>72</v>
      </c>
      <c r="AZ85" s="17"/>
      <c r="BA85" s="35">
        <v>0</v>
      </c>
      <c r="BB85" s="17"/>
      <c r="BC85" s="35">
        <v>0</v>
      </c>
      <c r="BD85" s="17"/>
      <c r="BE85" s="35">
        <f>37500+2902548</f>
        <v>2940048</v>
      </c>
      <c r="BF85" s="17"/>
      <c r="BG85" s="35">
        <v>26351</v>
      </c>
      <c r="BH85" s="17"/>
      <c r="BI85" s="17"/>
      <c r="BJ85" s="17"/>
      <c r="BK85" s="35">
        <f t="shared" si="17"/>
        <v>2966399</v>
      </c>
      <c r="BL85" s="79"/>
    </row>
    <row r="86" spans="1:64" ht="12.75">
      <c r="A86" s="77" t="s">
        <v>73</v>
      </c>
      <c r="B86" s="77"/>
      <c r="C86" s="35">
        <f t="shared" si="18"/>
        <v>21375652</v>
      </c>
      <c r="D86" s="35"/>
      <c r="E86" s="35">
        <v>117226343</v>
      </c>
      <c r="F86" s="35"/>
      <c r="G86" s="35">
        <v>138601995</v>
      </c>
      <c r="H86" s="35"/>
      <c r="I86" s="35">
        <f t="shared" si="19"/>
        <v>9204614</v>
      </c>
      <c r="J86" s="35"/>
      <c r="K86" s="35">
        <f t="shared" si="20"/>
        <v>25914180</v>
      </c>
      <c r="L86" s="35"/>
      <c r="M86" s="35">
        <v>35118794</v>
      </c>
      <c r="N86" s="35"/>
      <c r="O86" s="35">
        <v>86713697</v>
      </c>
      <c r="P86" s="35"/>
      <c r="Q86" s="35">
        <v>0</v>
      </c>
      <c r="R86" s="35"/>
      <c r="S86" s="35">
        <v>16769504</v>
      </c>
      <c r="T86" s="35"/>
      <c r="U86" s="35">
        <f t="shared" si="21"/>
        <v>103483201</v>
      </c>
      <c r="V86" s="35"/>
      <c r="W86" s="35">
        <f t="shared" si="13"/>
        <v>0</v>
      </c>
      <c r="X86" s="35"/>
      <c r="Y86" s="81" t="s">
        <v>73</v>
      </c>
      <c r="Z86" s="35"/>
      <c r="AA86" s="35">
        <v>20084783</v>
      </c>
      <c r="AB86" s="17"/>
      <c r="AC86" s="35">
        <f>17745070-3754606</f>
        <v>13990464</v>
      </c>
      <c r="AD86" s="17"/>
      <c r="AE86" s="35">
        <v>3754606</v>
      </c>
      <c r="AF86" s="17"/>
      <c r="AG86" s="35">
        <f t="shared" si="14"/>
        <v>2339713</v>
      </c>
      <c r="AH86" s="40"/>
      <c r="AI86" s="35">
        <v>-722495</v>
      </c>
      <c r="AJ86" s="40"/>
      <c r="AK86" s="35">
        <v>0</v>
      </c>
      <c r="AL86" s="17"/>
      <c r="AM86" s="35">
        <v>0</v>
      </c>
      <c r="AN86" s="17"/>
      <c r="AO86" s="35">
        <v>1928653</v>
      </c>
      <c r="AP86" s="17"/>
      <c r="AQ86" s="35">
        <f t="shared" si="15"/>
        <v>3545871</v>
      </c>
      <c r="AR86" s="40"/>
      <c r="AS86" s="17">
        <v>0</v>
      </c>
      <c r="AT86" s="17"/>
      <c r="AU86" s="17">
        <v>0</v>
      </c>
      <c r="AV86" s="17"/>
      <c r="AW86" s="35">
        <f t="shared" si="16"/>
        <v>12171038</v>
      </c>
      <c r="AX86" s="17"/>
      <c r="AY86" s="81" t="s">
        <v>73</v>
      </c>
      <c r="AZ86" s="17"/>
      <c r="BA86" s="35">
        <v>12477525</v>
      </c>
      <c r="BB86" s="17"/>
      <c r="BC86" s="35">
        <v>0</v>
      </c>
      <c r="BD86" s="17"/>
      <c r="BE86" s="35">
        <f>504549+12932106</f>
        <v>13436655</v>
      </c>
      <c r="BF86" s="17"/>
      <c r="BG86" s="35">
        <v>0</v>
      </c>
      <c r="BH86" s="17"/>
      <c r="BI86" s="17"/>
      <c r="BJ86" s="17"/>
      <c r="BK86" s="35">
        <f t="shared" si="17"/>
        <v>25914180</v>
      </c>
      <c r="BL86" s="79"/>
    </row>
    <row r="87" spans="1:64" ht="12.75">
      <c r="A87" s="77" t="s">
        <v>74</v>
      </c>
      <c r="B87" s="77"/>
      <c r="C87" s="35">
        <f t="shared" si="18"/>
        <v>19666999</v>
      </c>
      <c r="D87" s="35"/>
      <c r="E87" s="35">
        <v>216534057</v>
      </c>
      <c r="F87" s="35"/>
      <c r="G87" s="35">
        <v>236201056</v>
      </c>
      <c r="H87" s="35"/>
      <c r="I87" s="35">
        <f t="shared" si="19"/>
        <v>6246111</v>
      </c>
      <c r="J87" s="35"/>
      <c r="K87" s="35">
        <f t="shared" si="20"/>
        <v>71857264</v>
      </c>
      <c r="L87" s="35"/>
      <c r="M87" s="35">
        <v>78103375</v>
      </c>
      <c r="N87" s="35"/>
      <c r="O87" s="35">
        <v>142487438</v>
      </c>
      <c r="P87" s="35"/>
      <c r="Q87" s="35">
        <v>0</v>
      </c>
      <c r="R87" s="35"/>
      <c r="S87" s="35">
        <v>15610243</v>
      </c>
      <c r="T87" s="35"/>
      <c r="U87" s="35">
        <f t="shared" si="21"/>
        <v>158097681</v>
      </c>
      <c r="V87" s="35"/>
      <c r="W87" s="35">
        <f t="shared" si="13"/>
        <v>0</v>
      </c>
      <c r="X87" s="35"/>
      <c r="Y87" s="81" t="s">
        <v>74</v>
      </c>
      <c r="Z87" s="35"/>
      <c r="AA87" s="35">
        <v>32102032</v>
      </c>
      <c r="AB87" s="17"/>
      <c r="AC87" s="35">
        <f>31612359-6812746</f>
        <v>24799613</v>
      </c>
      <c r="AD87" s="17"/>
      <c r="AE87" s="35">
        <v>6812746</v>
      </c>
      <c r="AF87" s="17"/>
      <c r="AG87" s="35">
        <f t="shared" si="14"/>
        <v>489673</v>
      </c>
      <c r="AH87" s="40"/>
      <c r="AI87" s="35">
        <v>-1250905</v>
      </c>
      <c r="AJ87" s="40"/>
      <c r="AK87" s="35">
        <v>39807</v>
      </c>
      <c r="AL87" s="17"/>
      <c r="AM87" s="35">
        <v>537688</v>
      </c>
      <c r="AN87" s="17"/>
      <c r="AO87" s="35">
        <v>5094650</v>
      </c>
      <c r="AP87" s="17"/>
      <c r="AQ87" s="35">
        <f t="shared" si="15"/>
        <v>3835537</v>
      </c>
      <c r="AR87" s="40"/>
      <c r="AS87" s="17">
        <v>0</v>
      </c>
      <c r="AT87" s="17"/>
      <c r="AU87" s="17">
        <v>0</v>
      </c>
      <c r="AV87" s="17"/>
      <c r="AW87" s="35">
        <f t="shared" si="16"/>
        <v>13420888</v>
      </c>
      <c r="AX87" s="17"/>
      <c r="AY87" s="81" t="s">
        <v>74</v>
      </c>
      <c r="AZ87" s="17"/>
      <c r="BA87" s="35">
        <v>50445239</v>
      </c>
      <c r="BB87" s="17"/>
      <c r="BC87" s="35">
        <v>0</v>
      </c>
      <c r="BD87" s="17"/>
      <c r="BE87" s="35">
        <f>15716599+468750+4402216</f>
        <v>20587565</v>
      </c>
      <c r="BF87" s="17"/>
      <c r="BG87" s="35">
        <v>824460</v>
      </c>
      <c r="BH87" s="17"/>
      <c r="BI87" s="17"/>
      <c r="BJ87" s="17"/>
      <c r="BK87" s="35">
        <f t="shared" si="17"/>
        <v>71857264</v>
      </c>
      <c r="BL87" s="79"/>
    </row>
    <row r="88" spans="1:64" ht="12.75">
      <c r="A88" s="77" t="s">
        <v>75</v>
      </c>
      <c r="B88" s="77"/>
      <c r="C88" s="35">
        <f t="shared" si="18"/>
        <v>3148320</v>
      </c>
      <c r="D88" s="35"/>
      <c r="E88" s="35">
        <v>28546801</v>
      </c>
      <c r="F88" s="35"/>
      <c r="G88" s="35">
        <v>31695121</v>
      </c>
      <c r="H88" s="35"/>
      <c r="I88" s="35">
        <f t="shared" si="19"/>
        <v>2539360</v>
      </c>
      <c r="J88" s="35"/>
      <c r="K88" s="35">
        <f t="shared" si="20"/>
        <v>5950598</v>
      </c>
      <c r="L88" s="35"/>
      <c r="M88" s="35">
        <v>8489958</v>
      </c>
      <c r="N88" s="35"/>
      <c r="O88" s="35">
        <v>22124283</v>
      </c>
      <c r="P88" s="35"/>
      <c r="Q88" s="35">
        <v>0</v>
      </c>
      <c r="R88" s="35"/>
      <c r="S88" s="35">
        <v>1080880</v>
      </c>
      <c r="T88" s="35"/>
      <c r="U88" s="35">
        <f t="shared" si="21"/>
        <v>23205163</v>
      </c>
      <c r="V88" s="35"/>
      <c r="W88" s="35">
        <f t="shared" si="13"/>
        <v>0</v>
      </c>
      <c r="X88" s="35"/>
      <c r="Y88" s="81" t="s">
        <v>75</v>
      </c>
      <c r="Z88" s="35"/>
      <c r="AA88" s="35">
        <v>9254044</v>
      </c>
      <c r="AB88" s="17"/>
      <c r="AC88" s="35">
        <f>11484467-2190778</f>
        <v>9293689</v>
      </c>
      <c r="AD88" s="17"/>
      <c r="AE88" s="35">
        <v>2190778</v>
      </c>
      <c r="AF88" s="17"/>
      <c r="AG88" s="35">
        <f t="shared" si="14"/>
        <v>-2230423</v>
      </c>
      <c r="AH88" s="40"/>
      <c r="AI88" s="35">
        <v>402784</v>
      </c>
      <c r="AJ88" s="40"/>
      <c r="AK88" s="35">
        <v>1522017</v>
      </c>
      <c r="AL88" s="17"/>
      <c r="AM88" s="35">
        <v>1221618</v>
      </c>
      <c r="AN88" s="17"/>
      <c r="AO88" s="35">
        <v>11376222</v>
      </c>
      <c r="AP88" s="17"/>
      <c r="AQ88" s="35">
        <f t="shared" si="15"/>
        <v>9848982</v>
      </c>
      <c r="AR88" s="40"/>
      <c r="AS88" s="17">
        <v>0</v>
      </c>
      <c r="AT88" s="17"/>
      <c r="AU88" s="17">
        <v>0</v>
      </c>
      <c r="AV88" s="17"/>
      <c r="AW88" s="35">
        <f t="shared" si="16"/>
        <v>608960</v>
      </c>
      <c r="AX88" s="17"/>
      <c r="AY88" s="81" t="s">
        <v>75</v>
      </c>
      <c r="AZ88" s="17"/>
      <c r="BA88" s="35">
        <v>615540</v>
      </c>
      <c r="BB88" s="17"/>
      <c r="BC88" s="35">
        <v>2634800</v>
      </c>
      <c r="BD88" s="17"/>
      <c r="BE88" s="35">
        <f>477687+1997418</f>
        <v>2475105</v>
      </c>
      <c r="BF88" s="17"/>
      <c r="BG88" s="35">
        <v>225153</v>
      </c>
      <c r="BH88" s="17"/>
      <c r="BI88" s="17"/>
      <c r="BJ88" s="17"/>
      <c r="BK88" s="35">
        <f t="shared" si="17"/>
        <v>5950598</v>
      </c>
      <c r="BL88" s="79"/>
    </row>
    <row r="89" spans="1:64" ht="12.75">
      <c r="A89" s="77" t="s">
        <v>76</v>
      </c>
      <c r="B89" s="77"/>
      <c r="C89" s="35">
        <f t="shared" si="18"/>
        <v>1559408</v>
      </c>
      <c r="D89" s="35"/>
      <c r="E89" s="35">
        <v>11484010</v>
      </c>
      <c r="F89" s="35"/>
      <c r="G89" s="35">
        <v>13043418</v>
      </c>
      <c r="H89" s="35"/>
      <c r="I89" s="35">
        <f t="shared" si="19"/>
        <v>228780</v>
      </c>
      <c r="J89" s="35"/>
      <c r="K89" s="35">
        <f t="shared" si="20"/>
        <v>1759378</v>
      </c>
      <c r="L89" s="35"/>
      <c r="M89" s="35">
        <v>1988158</v>
      </c>
      <c r="N89" s="35"/>
      <c r="O89" s="35">
        <v>10056469</v>
      </c>
      <c r="P89" s="35"/>
      <c r="Q89" s="35">
        <v>0</v>
      </c>
      <c r="R89" s="35"/>
      <c r="S89" s="35">
        <v>998791</v>
      </c>
      <c r="T89" s="35"/>
      <c r="U89" s="35">
        <f t="shared" si="21"/>
        <v>11055260</v>
      </c>
      <c r="V89" s="35"/>
      <c r="W89" s="35">
        <f t="shared" si="13"/>
        <v>0</v>
      </c>
      <c r="X89" s="35"/>
      <c r="Y89" s="81" t="s">
        <v>76</v>
      </c>
      <c r="Z89" s="35"/>
      <c r="AA89" s="35">
        <v>1161580</v>
      </c>
      <c r="AB89" s="17"/>
      <c r="AC89" s="35">
        <f>1309668-355532</f>
        <v>954136</v>
      </c>
      <c r="AD89" s="17"/>
      <c r="AE89" s="35">
        <v>355532</v>
      </c>
      <c r="AF89" s="17"/>
      <c r="AG89" s="35">
        <f t="shared" si="14"/>
        <v>-148088</v>
      </c>
      <c r="AH89" s="40"/>
      <c r="AI89" s="35">
        <f>+-59866</f>
        <v>-59866</v>
      </c>
      <c r="AJ89" s="40"/>
      <c r="AK89" s="35">
        <v>0</v>
      </c>
      <c r="AL89" s="17"/>
      <c r="AM89" s="35">
        <v>0</v>
      </c>
      <c r="AN89" s="17"/>
      <c r="AO89" s="35">
        <v>0</v>
      </c>
      <c r="AP89" s="17"/>
      <c r="AQ89" s="35">
        <f t="shared" si="15"/>
        <v>-207954</v>
      </c>
      <c r="AR89" s="40"/>
      <c r="AS89" s="17">
        <v>0</v>
      </c>
      <c r="AT89" s="17"/>
      <c r="AU89" s="17">
        <v>0</v>
      </c>
      <c r="AV89" s="17"/>
      <c r="AW89" s="35">
        <f t="shared" si="16"/>
        <v>1330628</v>
      </c>
      <c r="AX89" s="17"/>
      <c r="AY89" s="81" t="s">
        <v>76</v>
      </c>
      <c r="AZ89" s="17"/>
      <c r="BA89" s="35">
        <v>0</v>
      </c>
      <c r="BB89" s="17"/>
      <c r="BC89" s="35">
        <v>0</v>
      </c>
      <c r="BD89" s="17"/>
      <c r="BE89" s="35">
        <f>582266+409527</f>
        <v>991793</v>
      </c>
      <c r="BF89" s="17"/>
      <c r="BG89" s="35">
        <f>30378+452207+285000</f>
        <v>767585</v>
      </c>
      <c r="BH89" s="17"/>
      <c r="BI89" s="17"/>
      <c r="BJ89" s="17"/>
      <c r="BK89" s="35">
        <f t="shared" si="17"/>
        <v>1759378</v>
      </c>
      <c r="BL89" s="79"/>
    </row>
    <row r="90" spans="1:64" ht="12.75" customHeight="1" hidden="1">
      <c r="A90" s="77" t="s">
        <v>77</v>
      </c>
      <c r="B90" s="77"/>
      <c r="C90" s="35">
        <f t="shared" si="18"/>
        <v>0</v>
      </c>
      <c r="D90" s="35"/>
      <c r="E90" s="35">
        <v>0</v>
      </c>
      <c r="F90" s="35"/>
      <c r="G90" s="35">
        <v>0</v>
      </c>
      <c r="H90" s="35"/>
      <c r="I90" s="35">
        <f t="shared" si="19"/>
        <v>0</v>
      </c>
      <c r="J90" s="35"/>
      <c r="K90" s="35">
        <f t="shared" si="20"/>
        <v>0</v>
      </c>
      <c r="L90" s="35"/>
      <c r="M90" s="35">
        <v>0</v>
      </c>
      <c r="N90" s="35"/>
      <c r="O90" s="35">
        <v>0</v>
      </c>
      <c r="P90" s="35"/>
      <c r="Q90" s="35">
        <v>0</v>
      </c>
      <c r="R90" s="35"/>
      <c r="S90" s="35">
        <v>0</v>
      </c>
      <c r="T90" s="35"/>
      <c r="U90" s="35">
        <f t="shared" si="21"/>
        <v>0</v>
      </c>
      <c r="V90" s="35"/>
      <c r="W90" s="35">
        <f t="shared" si="13"/>
        <v>0</v>
      </c>
      <c r="X90" s="35"/>
      <c r="Y90" s="81" t="s">
        <v>77</v>
      </c>
      <c r="Z90" s="35"/>
      <c r="AA90" s="35">
        <v>0</v>
      </c>
      <c r="AB90" s="17"/>
      <c r="AC90" s="35">
        <v>0</v>
      </c>
      <c r="AD90" s="17"/>
      <c r="AE90" s="35">
        <v>0</v>
      </c>
      <c r="AF90" s="17"/>
      <c r="AG90" s="35">
        <f t="shared" si="14"/>
        <v>0</v>
      </c>
      <c r="AH90" s="40"/>
      <c r="AI90" s="35">
        <v>0</v>
      </c>
      <c r="AJ90" s="40"/>
      <c r="AK90" s="35">
        <v>0</v>
      </c>
      <c r="AL90" s="17"/>
      <c r="AM90" s="35">
        <v>0</v>
      </c>
      <c r="AN90" s="17"/>
      <c r="AO90" s="35">
        <v>0</v>
      </c>
      <c r="AP90" s="17"/>
      <c r="AQ90" s="35">
        <f t="shared" si="15"/>
        <v>0</v>
      </c>
      <c r="AR90" s="40"/>
      <c r="AS90" s="17">
        <v>0</v>
      </c>
      <c r="AT90" s="17"/>
      <c r="AU90" s="17">
        <v>0</v>
      </c>
      <c r="AV90" s="17"/>
      <c r="AW90" s="35">
        <f t="shared" si="16"/>
        <v>0</v>
      </c>
      <c r="AX90" s="17"/>
      <c r="AY90" s="81" t="s">
        <v>77</v>
      </c>
      <c r="AZ90" s="17"/>
      <c r="BA90" s="35">
        <v>0</v>
      </c>
      <c r="BB90" s="17"/>
      <c r="BC90" s="35">
        <v>0</v>
      </c>
      <c r="BD90" s="17"/>
      <c r="BE90" s="35">
        <v>0</v>
      </c>
      <c r="BF90" s="17"/>
      <c r="BG90" s="35">
        <v>0</v>
      </c>
      <c r="BH90" s="17"/>
      <c r="BI90" s="17"/>
      <c r="BJ90" s="17"/>
      <c r="BK90" s="35">
        <f t="shared" si="17"/>
        <v>0</v>
      </c>
      <c r="BL90" s="79"/>
    </row>
    <row r="91" spans="1:68" ht="12.75" customHeight="1" hidden="1">
      <c r="A91" s="77" t="s">
        <v>78</v>
      </c>
      <c r="B91" s="77"/>
      <c r="C91" s="35">
        <f t="shared" si="18"/>
        <v>0</v>
      </c>
      <c r="D91" s="35"/>
      <c r="E91" s="35">
        <v>0</v>
      </c>
      <c r="F91" s="35"/>
      <c r="G91" s="35">
        <v>0</v>
      </c>
      <c r="H91" s="35"/>
      <c r="I91" s="35">
        <f t="shared" si="19"/>
        <v>0</v>
      </c>
      <c r="J91" s="35"/>
      <c r="K91" s="35">
        <f t="shared" si="20"/>
        <v>0</v>
      </c>
      <c r="L91" s="35"/>
      <c r="M91" s="35">
        <v>0</v>
      </c>
      <c r="N91" s="35"/>
      <c r="O91" s="35">
        <v>0</v>
      </c>
      <c r="P91" s="35"/>
      <c r="Q91" s="35">
        <v>0</v>
      </c>
      <c r="R91" s="35"/>
      <c r="S91" s="35">
        <v>0</v>
      </c>
      <c r="T91" s="35"/>
      <c r="U91" s="35">
        <f t="shared" si="21"/>
        <v>0</v>
      </c>
      <c r="V91" s="35"/>
      <c r="W91" s="35">
        <f t="shared" si="13"/>
        <v>0</v>
      </c>
      <c r="X91" s="35"/>
      <c r="Y91" s="81" t="s">
        <v>78</v>
      </c>
      <c r="Z91" s="35"/>
      <c r="AA91" s="35">
        <v>0</v>
      </c>
      <c r="AB91" s="17"/>
      <c r="AC91" s="35">
        <v>0</v>
      </c>
      <c r="AD91" s="17"/>
      <c r="AE91" s="35">
        <v>0</v>
      </c>
      <c r="AF91" s="17"/>
      <c r="AG91" s="35">
        <f t="shared" si="14"/>
        <v>0</v>
      </c>
      <c r="AH91" s="40"/>
      <c r="AI91" s="35">
        <v>0</v>
      </c>
      <c r="AJ91" s="40"/>
      <c r="AK91" s="35">
        <v>0</v>
      </c>
      <c r="AL91" s="17"/>
      <c r="AM91" s="35">
        <v>0</v>
      </c>
      <c r="AN91" s="17"/>
      <c r="AO91" s="35">
        <v>0</v>
      </c>
      <c r="AP91" s="17"/>
      <c r="AQ91" s="35">
        <f t="shared" si="15"/>
        <v>0</v>
      </c>
      <c r="AR91" s="40"/>
      <c r="AS91" s="17">
        <v>0</v>
      </c>
      <c r="AT91" s="17"/>
      <c r="AU91" s="17">
        <v>0</v>
      </c>
      <c r="AV91" s="17"/>
      <c r="AW91" s="35">
        <f t="shared" si="16"/>
        <v>0</v>
      </c>
      <c r="AX91" s="35"/>
      <c r="AY91" s="81" t="s">
        <v>78</v>
      </c>
      <c r="AZ91" s="35"/>
      <c r="BA91" s="35">
        <v>0</v>
      </c>
      <c r="BB91" s="17"/>
      <c r="BC91" s="35">
        <v>0</v>
      </c>
      <c r="BD91" s="17"/>
      <c r="BE91" s="35">
        <v>0</v>
      </c>
      <c r="BF91" s="17"/>
      <c r="BG91" s="35">
        <v>0</v>
      </c>
      <c r="BH91" s="17"/>
      <c r="BI91" s="17"/>
      <c r="BJ91" s="17"/>
      <c r="BK91" s="35">
        <f t="shared" si="17"/>
        <v>0</v>
      </c>
      <c r="BL91" s="79"/>
      <c r="BM91" s="79"/>
      <c r="BN91" s="79"/>
      <c r="BO91" s="79"/>
      <c r="BP91" s="79"/>
    </row>
    <row r="92" spans="1:64" ht="12.75" customHeight="1" hidden="1">
      <c r="A92" s="77" t="s">
        <v>79</v>
      </c>
      <c r="B92" s="77"/>
      <c r="C92" s="35">
        <f t="shared" si="18"/>
        <v>0</v>
      </c>
      <c r="D92" s="35"/>
      <c r="E92" s="35">
        <v>0</v>
      </c>
      <c r="F92" s="35"/>
      <c r="G92" s="35">
        <v>0</v>
      </c>
      <c r="H92" s="35"/>
      <c r="I92" s="35">
        <f t="shared" si="19"/>
        <v>0</v>
      </c>
      <c r="J92" s="35"/>
      <c r="K92" s="35">
        <f t="shared" si="20"/>
        <v>0</v>
      </c>
      <c r="L92" s="35"/>
      <c r="M92" s="35">
        <v>0</v>
      </c>
      <c r="N92" s="35"/>
      <c r="O92" s="35">
        <v>0</v>
      </c>
      <c r="P92" s="35"/>
      <c r="Q92" s="35">
        <v>0</v>
      </c>
      <c r="R92" s="35"/>
      <c r="S92" s="35">
        <v>0</v>
      </c>
      <c r="T92" s="35"/>
      <c r="U92" s="35">
        <f t="shared" si="21"/>
        <v>0</v>
      </c>
      <c r="V92" s="35"/>
      <c r="W92" s="35">
        <f t="shared" si="13"/>
        <v>0</v>
      </c>
      <c r="X92" s="35"/>
      <c r="Y92" s="81" t="s">
        <v>79</v>
      </c>
      <c r="Z92" s="35"/>
      <c r="AA92" s="35">
        <v>0</v>
      </c>
      <c r="AB92" s="17"/>
      <c r="AC92" s="35">
        <v>0</v>
      </c>
      <c r="AD92" s="17"/>
      <c r="AE92" s="35">
        <v>0</v>
      </c>
      <c r="AF92" s="17"/>
      <c r="AG92" s="35">
        <f t="shared" si="14"/>
        <v>0</v>
      </c>
      <c r="AH92" s="40"/>
      <c r="AI92" s="35">
        <v>0</v>
      </c>
      <c r="AJ92" s="40"/>
      <c r="AK92" s="35">
        <v>0</v>
      </c>
      <c r="AL92" s="17"/>
      <c r="AM92" s="35">
        <v>0</v>
      </c>
      <c r="AN92" s="17"/>
      <c r="AO92" s="35">
        <v>0</v>
      </c>
      <c r="AP92" s="17"/>
      <c r="AQ92" s="35">
        <f t="shared" si="15"/>
        <v>0</v>
      </c>
      <c r="AR92" s="40"/>
      <c r="AS92" s="17">
        <v>0</v>
      </c>
      <c r="AT92" s="17"/>
      <c r="AU92" s="17">
        <v>0</v>
      </c>
      <c r="AV92" s="17"/>
      <c r="AW92" s="35">
        <f t="shared" si="16"/>
        <v>0</v>
      </c>
      <c r="AX92" s="35"/>
      <c r="AY92" s="81" t="s">
        <v>79</v>
      </c>
      <c r="AZ92" s="35"/>
      <c r="BA92" s="35">
        <v>0</v>
      </c>
      <c r="BB92" s="17"/>
      <c r="BC92" s="35">
        <v>0</v>
      </c>
      <c r="BD92" s="17"/>
      <c r="BE92" s="35">
        <v>0</v>
      </c>
      <c r="BF92" s="17"/>
      <c r="BG92" s="35">
        <v>0</v>
      </c>
      <c r="BH92" s="17"/>
      <c r="BI92" s="17"/>
      <c r="BJ92" s="17"/>
      <c r="BK92" s="35">
        <f t="shared" si="17"/>
        <v>0</v>
      </c>
      <c r="BL92" s="79"/>
    </row>
    <row r="93" spans="1:64" ht="12.75">
      <c r="A93" s="77" t="s">
        <v>80</v>
      </c>
      <c r="B93" s="77"/>
      <c r="C93" s="35">
        <f t="shared" si="18"/>
        <v>17641738</v>
      </c>
      <c r="D93" s="35"/>
      <c r="E93" s="35">
        <v>87760528</v>
      </c>
      <c r="F93" s="35"/>
      <c r="G93" s="35">
        <v>105402266</v>
      </c>
      <c r="H93" s="35"/>
      <c r="I93" s="35">
        <f t="shared" si="19"/>
        <v>1249799</v>
      </c>
      <c r="J93" s="35"/>
      <c r="K93" s="35">
        <f t="shared" si="20"/>
        <v>192421</v>
      </c>
      <c r="L93" s="35"/>
      <c r="M93" s="35">
        <v>1442220</v>
      </c>
      <c r="N93" s="35"/>
      <c r="O93" s="35">
        <v>87760528</v>
      </c>
      <c r="P93" s="35"/>
      <c r="Q93" s="35">
        <v>0</v>
      </c>
      <c r="R93" s="35"/>
      <c r="S93" s="35">
        <v>16199518</v>
      </c>
      <c r="T93" s="35"/>
      <c r="U93" s="35">
        <f t="shared" si="21"/>
        <v>103960046</v>
      </c>
      <c r="V93" s="35"/>
      <c r="W93" s="35">
        <f aca="true" t="shared" si="22" ref="W93:W98">+G93-M93-U93</f>
        <v>0</v>
      </c>
      <c r="X93" s="35"/>
      <c r="Y93" s="81" t="s">
        <v>80</v>
      </c>
      <c r="Z93" s="35"/>
      <c r="AA93" s="35">
        <v>7448705</v>
      </c>
      <c r="AB93" s="17"/>
      <c r="AC93" s="35">
        <f>10133278-3536024</f>
        <v>6597254</v>
      </c>
      <c r="AD93" s="17"/>
      <c r="AE93" s="35">
        <v>3536024</v>
      </c>
      <c r="AF93" s="17"/>
      <c r="AG93" s="35">
        <f aca="true" t="shared" si="23" ref="AG93:AG98">+AA93-AC93-AE93</f>
        <v>-2684573</v>
      </c>
      <c r="AH93" s="40"/>
      <c r="AI93" s="35">
        <v>303862</v>
      </c>
      <c r="AJ93" s="40"/>
      <c r="AK93" s="35">
        <v>0</v>
      </c>
      <c r="AL93" s="17"/>
      <c r="AM93" s="35">
        <v>0</v>
      </c>
      <c r="AN93" s="17"/>
      <c r="AO93" s="35">
        <f>2045308+4720629</f>
        <v>6765937</v>
      </c>
      <c r="AP93" s="17"/>
      <c r="AQ93" s="35">
        <f>+AO93+AK93-AM93+AI93+AG93</f>
        <v>4385226</v>
      </c>
      <c r="AR93" s="40"/>
      <c r="AS93" s="17">
        <v>0</v>
      </c>
      <c r="AT93" s="17"/>
      <c r="AU93" s="17">
        <v>0</v>
      </c>
      <c r="AV93" s="17"/>
      <c r="AW93" s="35">
        <f aca="true" t="shared" si="24" ref="AW93:AW98">+C93-I93</f>
        <v>16391939</v>
      </c>
      <c r="AX93" s="17"/>
      <c r="AY93" s="81" t="s">
        <v>80</v>
      </c>
      <c r="AZ93" s="17"/>
      <c r="BA93" s="35">
        <v>0</v>
      </c>
      <c r="BB93" s="17"/>
      <c r="BC93" s="35">
        <v>0</v>
      </c>
      <c r="BD93" s="17"/>
      <c r="BE93" s="35">
        <v>0</v>
      </c>
      <c r="BF93" s="17"/>
      <c r="BG93" s="35">
        <v>192421</v>
      </c>
      <c r="BH93" s="17"/>
      <c r="BI93" s="17"/>
      <c r="BJ93" s="17"/>
      <c r="BK93" s="35">
        <f aca="true" t="shared" si="25" ref="BK93:BK98">SUM(BA93:BI93)</f>
        <v>192421</v>
      </c>
      <c r="BL93" s="79"/>
    </row>
    <row r="94" spans="1:68" ht="12.75">
      <c r="A94" s="77" t="s">
        <v>81</v>
      </c>
      <c r="B94" s="77"/>
      <c r="C94" s="35">
        <f t="shared" si="18"/>
        <v>447396</v>
      </c>
      <c r="D94" s="35"/>
      <c r="E94" s="35">
        <f>189760+4707266</f>
        <v>4897026</v>
      </c>
      <c r="F94" s="35"/>
      <c r="G94" s="35">
        <v>5344422</v>
      </c>
      <c r="H94" s="35"/>
      <c r="I94" s="35">
        <f t="shared" si="19"/>
        <v>114944</v>
      </c>
      <c r="J94" s="35"/>
      <c r="K94" s="35">
        <f t="shared" si="20"/>
        <v>1285183</v>
      </c>
      <c r="L94" s="35"/>
      <c r="M94" s="35">
        <v>1400127</v>
      </c>
      <c r="N94" s="35"/>
      <c r="O94" s="35">
        <v>3580124</v>
      </c>
      <c r="P94" s="35"/>
      <c r="Q94" s="35">
        <v>0</v>
      </c>
      <c r="R94" s="35"/>
      <c r="S94" s="35">
        <v>364161</v>
      </c>
      <c r="T94" s="35"/>
      <c r="U94" s="35">
        <f t="shared" si="21"/>
        <v>3944285</v>
      </c>
      <c r="V94" s="35"/>
      <c r="W94" s="35">
        <f t="shared" si="22"/>
        <v>10</v>
      </c>
      <c r="X94" s="35"/>
      <c r="Y94" s="81" t="s">
        <v>81</v>
      </c>
      <c r="Z94" s="35"/>
      <c r="AA94" s="35">
        <v>478163</v>
      </c>
      <c r="AB94" s="17"/>
      <c r="AC94" s="35">
        <f>436010-182121</f>
        <v>253889</v>
      </c>
      <c r="AD94" s="17"/>
      <c r="AE94" s="35">
        <v>182121</v>
      </c>
      <c r="AF94" s="17"/>
      <c r="AG94" s="35">
        <f t="shared" si="23"/>
        <v>42153</v>
      </c>
      <c r="AH94" s="40"/>
      <c r="AI94" s="35">
        <v>-47041</v>
      </c>
      <c r="AJ94" s="40"/>
      <c r="AK94" s="35">
        <v>0</v>
      </c>
      <c r="AL94" s="17"/>
      <c r="AM94" s="35">
        <v>0</v>
      </c>
      <c r="AN94" s="17"/>
      <c r="AO94" s="35">
        <v>0</v>
      </c>
      <c r="AP94" s="17"/>
      <c r="AQ94" s="35">
        <f>+AO94+AK94-AM94+AI94+AG94</f>
        <v>-4888</v>
      </c>
      <c r="AR94" s="40"/>
      <c r="AS94" s="17">
        <v>0</v>
      </c>
      <c r="AT94" s="17"/>
      <c r="AU94" s="17">
        <v>0</v>
      </c>
      <c r="AV94" s="17"/>
      <c r="AW94" s="35">
        <f t="shared" si="24"/>
        <v>332452</v>
      </c>
      <c r="AX94" s="35"/>
      <c r="AY94" s="81" t="s">
        <v>81</v>
      </c>
      <c r="AZ94" s="35"/>
      <c r="BA94" s="35">
        <v>0</v>
      </c>
      <c r="BB94" s="17"/>
      <c r="BC94" s="35">
        <v>0</v>
      </c>
      <c r="BD94" s="17"/>
      <c r="BE94" s="35">
        <f>240787+263724+780000</f>
        <v>1284511</v>
      </c>
      <c r="BF94" s="17"/>
      <c r="BG94" s="35">
        <v>672</v>
      </c>
      <c r="BH94" s="17"/>
      <c r="BI94" s="17"/>
      <c r="BJ94" s="17"/>
      <c r="BK94" s="35">
        <f t="shared" si="25"/>
        <v>1285183</v>
      </c>
      <c r="BL94" s="79"/>
      <c r="BM94" s="79"/>
      <c r="BN94" s="79"/>
      <c r="BO94" s="79"/>
      <c r="BP94" s="79"/>
    </row>
    <row r="95" spans="1:64" ht="12.75">
      <c r="A95" s="77" t="s">
        <v>82</v>
      </c>
      <c r="B95" s="77"/>
      <c r="C95" s="35">
        <f t="shared" si="18"/>
        <v>1044070</v>
      </c>
      <c r="D95" s="35"/>
      <c r="E95" s="35">
        <v>8437533</v>
      </c>
      <c r="F95" s="35"/>
      <c r="G95" s="35">
        <v>9481603</v>
      </c>
      <c r="H95" s="35"/>
      <c r="I95" s="35">
        <f t="shared" si="19"/>
        <v>125771</v>
      </c>
      <c r="J95" s="35"/>
      <c r="K95" s="35">
        <f t="shared" si="20"/>
        <v>2671429</v>
      </c>
      <c r="L95" s="35"/>
      <c r="M95" s="35">
        <v>2797200</v>
      </c>
      <c r="N95" s="35"/>
      <c r="O95" s="35">
        <v>5753433</v>
      </c>
      <c r="P95" s="35"/>
      <c r="Q95" s="35">
        <v>0</v>
      </c>
      <c r="R95" s="35"/>
      <c r="S95" s="35">
        <v>930970</v>
      </c>
      <c r="T95" s="35"/>
      <c r="U95" s="35">
        <f t="shared" si="21"/>
        <v>6684403</v>
      </c>
      <c r="V95" s="35"/>
      <c r="W95" s="35">
        <f t="shared" si="22"/>
        <v>0</v>
      </c>
      <c r="X95" s="35"/>
      <c r="Y95" s="81" t="s">
        <v>82</v>
      </c>
      <c r="Z95" s="35"/>
      <c r="AA95" s="35">
        <v>657314</v>
      </c>
      <c r="AB95" s="17"/>
      <c r="AC95" s="35">
        <f>1127479-258658</f>
        <v>868821</v>
      </c>
      <c r="AD95" s="17"/>
      <c r="AE95" s="35">
        <v>258658</v>
      </c>
      <c r="AF95" s="17"/>
      <c r="AG95" s="35">
        <f t="shared" si="23"/>
        <v>-470165</v>
      </c>
      <c r="AH95" s="40"/>
      <c r="AI95" s="35">
        <v>-20487</v>
      </c>
      <c r="AJ95" s="40"/>
      <c r="AK95" s="35">
        <v>0</v>
      </c>
      <c r="AL95" s="17"/>
      <c r="AM95" s="35">
        <v>0</v>
      </c>
      <c r="AN95" s="17"/>
      <c r="AO95" s="35">
        <v>0</v>
      </c>
      <c r="AP95" s="17"/>
      <c r="AQ95" s="35">
        <f>+AO95+AK95-AM95+AI95+AG95</f>
        <v>-490652</v>
      </c>
      <c r="AR95" s="40"/>
      <c r="AS95" s="17">
        <v>0</v>
      </c>
      <c r="AT95" s="17"/>
      <c r="AU95" s="17">
        <v>0</v>
      </c>
      <c r="AV95" s="17"/>
      <c r="AW95" s="35">
        <f t="shared" si="24"/>
        <v>918299</v>
      </c>
      <c r="AX95" s="17"/>
      <c r="AY95" s="81" t="s">
        <v>82</v>
      </c>
      <c r="AZ95" s="17"/>
      <c r="BA95" s="35">
        <v>0</v>
      </c>
      <c r="BB95" s="17"/>
      <c r="BC95" s="35">
        <v>837000</v>
      </c>
      <c r="BD95" s="17"/>
      <c r="BE95" s="35">
        <v>0</v>
      </c>
      <c r="BF95" s="17"/>
      <c r="BG95" s="35">
        <f>17629+1816800</f>
        <v>1834429</v>
      </c>
      <c r="BH95" s="17"/>
      <c r="BI95" s="17"/>
      <c r="BJ95" s="17"/>
      <c r="BK95" s="35">
        <f t="shared" si="25"/>
        <v>2671429</v>
      </c>
      <c r="BL95" s="79"/>
    </row>
    <row r="96" spans="1:64" ht="12.75" customHeight="1" hidden="1">
      <c r="A96" s="77" t="s">
        <v>174</v>
      </c>
      <c r="B96" s="77"/>
      <c r="C96" s="35">
        <f t="shared" si="18"/>
        <v>0</v>
      </c>
      <c r="D96" s="35"/>
      <c r="E96" s="35">
        <v>0</v>
      </c>
      <c r="F96" s="35"/>
      <c r="G96" s="35">
        <v>0</v>
      </c>
      <c r="H96" s="35"/>
      <c r="I96" s="35">
        <f t="shared" si="19"/>
        <v>0</v>
      </c>
      <c r="J96" s="35"/>
      <c r="K96" s="35">
        <f t="shared" si="20"/>
        <v>0</v>
      </c>
      <c r="L96" s="35"/>
      <c r="M96" s="35">
        <v>0</v>
      </c>
      <c r="N96" s="35"/>
      <c r="O96" s="35">
        <v>0</v>
      </c>
      <c r="P96" s="35"/>
      <c r="Q96" s="35">
        <v>0</v>
      </c>
      <c r="R96" s="35"/>
      <c r="S96" s="35">
        <v>0</v>
      </c>
      <c r="T96" s="35"/>
      <c r="U96" s="35">
        <f t="shared" si="21"/>
        <v>0</v>
      </c>
      <c r="V96" s="35"/>
      <c r="W96" s="35">
        <f t="shared" si="22"/>
        <v>0</v>
      </c>
      <c r="X96" s="35"/>
      <c r="Y96" s="77" t="s">
        <v>174</v>
      </c>
      <c r="Z96" s="35"/>
      <c r="AA96" s="35">
        <v>0</v>
      </c>
      <c r="AB96" s="17"/>
      <c r="AC96" s="35">
        <v>0</v>
      </c>
      <c r="AD96" s="17"/>
      <c r="AE96" s="35">
        <v>0</v>
      </c>
      <c r="AF96" s="17"/>
      <c r="AG96" s="35">
        <f t="shared" si="23"/>
        <v>0</v>
      </c>
      <c r="AH96" s="40"/>
      <c r="AI96" s="35">
        <v>0</v>
      </c>
      <c r="AJ96" s="40"/>
      <c r="AK96" s="35">
        <v>0</v>
      </c>
      <c r="AL96" s="17"/>
      <c r="AM96" s="35">
        <v>0</v>
      </c>
      <c r="AN96" s="17"/>
      <c r="AO96" s="35">
        <v>0</v>
      </c>
      <c r="AP96" s="17"/>
      <c r="AQ96" s="35">
        <f>+AO96+AK96-AM96+AI96+AG96</f>
        <v>0</v>
      </c>
      <c r="AR96" s="40"/>
      <c r="AS96" s="17">
        <v>0</v>
      </c>
      <c r="AT96" s="17"/>
      <c r="AU96" s="17">
        <v>0</v>
      </c>
      <c r="AV96" s="17"/>
      <c r="AW96" s="35">
        <f t="shared" si="24"/>
        <v>0</v>
      </c>
      <c r="AX96" s="35"/>
      <c r="AY96" s="77" t="s">
        <v>174</v>
      </c>
      <c r="AZ96" s="35"/>
      <c r="BA96" s="35">
        <v>0</v>
      </c>
      <c r="BB96" s="17"/>
      <c r="BC96" s="35">
        <v>0</v>
      </c>
      <c r="BD96" s="17"/>
      <c r="BE96" s="35">
        <v>0</v>
      </c>
      <c r="BF96" s="17"/>
      <c r="BG96" s="35">
        <v>0</v>
      </c>
      <c r="BH96" s="17"/>
      <c r="BI96" s="17"/>
      <c r="BJ96" s="17"/>
      <c r="BK96" s="35">
        <f t="shared" si="25"/>
        <v>0</v>
      </c>
      <c r="BL96" s="79"/>
    </row>
    <row r="97" spans="1:64" ht="12.75" customHeight="1" hidden="1">
      <c r="A97" s="77" t="s">
        <v>83</v>
      </c>
      <c r="B97" s="77"/>
      <c r="C97" s="35">
        <f t="shared" si="18"/>
        <v>0</v>
      </c>
      <c r="D97" s="35"/>
      <c r="E97" s="35">
        <v>0</v>
      </c>
      <c r="F97" s="35"/>
      <c r="G97" s="35">
        <v>0</v>
      </c>
      <c r="H97" s="35"/>
      <c r="I97" s="35">
        <f t="shared" si="19"/>
        <v>0</v>
      </c>
      <c r="J97" s="35"/>
      <c r="K97" s="35">
        <f t="shared" si="20"/>
        <v>0</v>
      </c>
      <c r="L97" s="35"/>
      <c r="M97" s="35">
        <v>0</v>
      </c>
      <c r="N97" s="35"/>
      <c r="O97" s="35">
        <v>0</v>
      </c>
      <c r="P97" s="35"/>
      <c r="Q97" s="35">
        <v>0</v>
      </c>
      <c r="R97" s="35"/>
      <c r="S97" s="35">
        <v>0</v>
      </c>
      <c r="T97" s="35"/>
      <c r="U97" s="35">
        <f t="shared" si="21"/>
        <v>0</v>
      </c>
      <c r="V97" s="35"/>
      <c r="W97" s="35">
        <f t="shared" si="22"/>
        <v>0</v>
      </c>
      <c r="X97" s="35"/>
      <c r="Y97" s="77" t="s">
        <v>83</v>
      </c>
      <c r="Z97" s="35"/>
      <c r="AA97" s="35">
        <v>0</v>
      </c>
      <c r="AB97" s="17"/>
      <c r="AC97" s="35">
        <v>0</v>
      </c>
      <c r="AD97" s="17"/>
      <c r="AE97" s="35">
        <v>0</v>
      </c>
      <c r="AF97" s="17"/>
      <c r="AG97" s="35">
        <f t="shared" si="23"/>
        <v>0</v>
      </c>
      <c r="AH97" s="40"/>
      <c r="AI97" s="35">
        <v>0</v>
      </c>
      <c r="AJ97" s="40"/>
      <c r="AK97" s="35">
        <v>0</v>
      </c>
      <c r="AL97" s="17"/>
      <c r="AM97" s="35">
        <v>0</v>
      </c>
      <c r="AN97" s="17"/>
      <c r="AO97" s="35">
        <v>0</v>
      </c>
      <c r="AP97" s="17"/>
      <c r="AQ97" s="35">
        <f>+AO97+AK97-AM97+AI97+AG97</f>
        <v>0</v>
      </c>
      <c r="AR97" s="40"/>
      <c r="AS97" s="17">
        <v>0</v>
      </c>
      <c r="AT97" s="17"/>
      <c r="AU97" s="17">
        <v>0</v>
      </c>
      <c r="AV97" s="17"/>
      <c r="AW97" s="35">
        <f t="shared" si="24"/>
        <v>0</v>
      </c>
      <c r="AX97" s="35"/>
      <c r="AY97" s="77" t="s">
        <v>83</v>
      </c>
      <c r="AZ97" s="35"/>
      <c r="BA97" s="35">
        <v>0</v>
      </c>
      <c r="BB97" s="17"/>
      <c r="BC97" s="35">
        <v>0</v>
      </c>
      <c r="BD97" s="17"/>
      <c r="BE97" s="35">
        <v>0</v>
      </c>
      <c r="BF97" s="17"/>
      <c r="BG97" s="35">
        <v>0</v>
      </c>
      <c r="BH97" s="17"/>
      <c r="BI97" s="17"/>
      <c r="BJ97" s="17"/>
      <c r="BK97" s="35">
        <f t="shared" si="25"/>
        <v>0</v>
      </c>
      <c r="BL97" s="79"/>
    </row>
    <row r="98" spans="1:64" ht="12.75" customHeight="1" hidden="1">
      <c r="A98" s="77" t="s">
        <v>175</v>
      </c>
      <c r="B98" s="77"/>
      <c r="C98" s="35">
        <f>G98-E98</f>
        <v>0</v>
      </c>
      <c r="D98" s="35"/>
      <c r="E98" s="35">
        <v>0</v>
      </c>
      <c r="F98" s="35"/>
      <c r="G98" s="35">
        <v>0</v>
      </c>
      <c r="H98" s="35"/>
      <c r="I98" s="35">
        <f>M98-K98</f>
        <v>0</v>
      </c>
      <c r="J98" s="35"/>
      <c r="K98" s="35">
        <f>SUM(BK98)</f>
        <v>0</v>
      </c>
      <c r="L98" s="35"/>
      <c r="M98" s="35">
        <v>0</v>
      </c>
      <c r="N98" s="35"/>
      <c r="O98" s="35">
        <v>0</v>
      </c>
      <c r="P98" s="35"/>
      <c r="Q98" s="35">
        <v>0</v>
      </c>
      <c r="R98" s="35"/>
      <c r="S98" s="35">
        <v>0</v>
      </c>
      <c r="T98" s="35"/>
      <c r="U98" s="35">
        <f>SUM(O98:S98)</f>
        <v>0</v>
      </c>
      <c r="V98" s="35"/>
      <c r="W98" s="35">
        <f t="shared" si="22"/>
        <v>0</v>
      </c>
      <c r="X98" s="35"/>
      <c r="Y98" s="77" t="s">
        <v>175</v>
      </c>
      <c r="Z98" s="35"/>
      <c r="AA98" s="35">
        <v>0</v>
      </c>
      <c r="AB98" s="17"/>
      <c r="AC98" s="35">
        <v>0</v>
      </c>
      <c r="AD98" s="17"/>
      <c r="AE98" s="35">
        <v>0</v>
      </c>
      <c r="AF98" s="17"/>
      <c r="AG98" s="35">
        <f t="shared" si="23"/>
        <v>0</v>
      </c>
      <c r="AH98" s="40"/>
      <c r="AI98" s="35">
        <v>0</v>
      </c>
      <c r="AJ98" s="40"/>
      <c r="AK98" s="35">
        <v>0</v>
      </c>
      <c r="AL98" s="17"/>
      <c r="AM98" s="35">
        <v>0</v>
      </c>
      <c r="AN98" s="17"/>
      <c r="AO98" s="35">
        <v>0</v>
      </c>
      <c r="AP98" s="17"/>
      <c r="AQ98" s="35">
        <f>+AG98+AI98+AK98-AM98+AO98</f>
        <v>0</v>
      </c>
      <c r="AR98" s="40"/>
      <c r="AS98" s="17">
        <v>0</v>
      </c>
      <c r="AT98" s="17"/>
      <c r="AU98" s="17">
        <v>0</v>
      </c>
      <c r="AV98" s="17"/>
      <c r="AW98" s="35">
        <f t="shared" si="24"/>
        <v>0</v>
      </c>
      <c r="AX98" s="35"/>
      <c r="AY98" s="77" t="s">
        <v>175</v>
      </c>
      <c r="AZ98" s="35"/>
      <c r="BA98" s="35">
        <v>0</v>
      </c>
      <c r="BB98" s="17"/>
      <c r="BC98" s="35">
        <v>0</v>
      </c>
      <c r="BD98" s="17"/>
      <c r="BE98" s="35">
        <v>0</v>
      </c>
      <c r="BF98" s="17"/>
      <c r="BG98" s="35">
        <v>0</v>
      </c>
      <c r="BH98" s="17"/>
      <c r="BI98" s="17"/>
      <c r="BJ98" s="17"/>
      <c r="BK98" s="35">
        <f t="shared" si="25"/>
        <v>0</v>
      </c>
      <c r="BL98" s="79"/>
    </row>
    <row r="99" spans="1:64" ht="12.75">
      <c r="A99" s="77"/>
      <c r="B99" s="7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77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77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79"/>
    </row>
    <row r="100" spans="1:64" ht="12.75">
      <c r="A100" s="77"/>
      <c r="B100" s="7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77"/>
      <c r="Z100" s="69"/>
      <c r="AA100" s="69"/>
      <c r="AB100" s="69"/>
      <c r="AC100" s="84"/>
      <c r="AD100" s="84"/>
      <c r="AE100" s="84"/>
      <c r="AF100" s="84"/>
      <c r="AG100" s="69"/>
      <c r="AH100" s="85"/>
      <c r="AI100" s="85"/>
      <c r="AJ100" s="85"/>
      <c r="AK100" s="85"/>
      <c r="AL100" s="85"/>
      <c r="AM100" s="85"/>
      <c r="AN100" s="85"/>
      <c r="AO100" s="79"/>
      <c r="AP100" s="79"/>
      <c r="AQ100" s="69"/>
      <c r="AR100" s="79"/>
      <c r="AS100" s="79"/>
      <c r="AT100" s="79"/>
      <c r="AU100" s="79"/>
      <c r="AV100" s="79"/>
      <c r="AW100" s="69"/>
      <c r="AX100" s="79"/>
      <c r="AY100" s="77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69"/>
      <c r="BL100" s="79"/>
    </row>
    <row r="101" spans="1:64" ht="12.75">
      <c r="A101" s="77"/>
      <c r="B101" s="7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84"/>
      <c r="AD101" s="84"/>
      <c r="AE101" s="84"/>
      <c r="AF101" s="84"/>
      <c r="AG101" s="69"/>
      <c r="AH101" s="85"/>
      <c r="AI101" s="85"/>
      <c r="AJ101" s="85"/>
      <c r="AK101" s="85"/>
      <c r="AL101" s="85"/>
      <c r="AM101" s="85"/>
      <c r="AN101" s="85"/>
      <c r="AO101" s="79"/>
      <c r="AP101" s="79"/>
      <c r="AQ101" s="69"/>
      <c r="AR101" s="79"/>
      <c r="AS101" s="79"/>
      <c r="AT101" s="79"/>
      <c r="AU101" s="79"/>
      <c r="AV101" s="79"/>
      <c r="AW101" s="69"/>
      <c r="AX101" s="79"/>
      <c r="AY101" s="6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69"/>
      <c r="BL101" s="79"/>
    </row>
    <row r="102" spans="1:64" ht="12.75">
      <c r="A102" s="77"/>
      <c r="B102" s="7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84"/>
      <c r="AD102" s="84"/>
      <c r="AE102" s="84"/>
      <c r="AF102" s="84"/>
      <c r="AG102" s="69"/>
      <c r="AH102" s="85"/>
      <c r="AI102" s="85"/>
      <c r="AJ102" s="85"/>
      <c r="AK102" s="85"/>
      <c r="AL102" s="85"/>
      <c r="AM102" s="85"/>
      <c r="AN102" s="85"/>
      <c r="AO102" s="79"/>
      <c r="AP102" s="79"/>
      <c r="AQ102" s="69"/>
      <c r="AR102" s="79"/>
      <c r="AS102" s="79"/>
      <c r="AT102" s="79"/>
      <c r="AU102" s="79"/>
      <c r="AV102" s="79"/>
      <c r="AW102" s="69"/>
      <c r="AX102" s="79"/>
      <c r="AY102" s="6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69"/>
      <c r="BL102" s="79"/>
    </row>
    <row r="103" spans="1:64" ht="12.75">
      <c r="A103" s="77"/>
      <c r="B103" s="7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84"/>
      <c r="AD103" s="84"/>
      <c r="AE103" s="84"/>
      <c r="AF103" s="84"/>
      <c r="AG103" s="69"/>
      <c r="AH103" s="85"/>
      <c r="AI103" s="85"/>
      <c r="AJ103" s="85"/>
      <c r="AK103" s="85"/>
      <c r="AL103" s="85"/>
      <c r="AM103" s="85"/>
      <c r="AN103" s="85"/>
      <c r="AO103" s="79"/>
      <c r="AP103" s="79"/>
      <c r="AQ103" s="69"/>
      <c r="AR103" s="79"/>
      <c r="AS103" s="79"/>
      <c r="AT103" s="79"/>
      <c r="AU103" s="79"/>
      <c r="AV103" s="79"/>
      <c r="AW103" s="69"/>
      <c r="AX103" s="79"/>
      <c r="AY103" s="6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69"/>
      <c r="BL103" s="79"/>
    </row>
    <row r="104" spans="1:64" ht="12.75">
      <c r="A104" s="77"/>
      <c r="B104" s="7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84"/>
      <c r="AD104" s="84"/>
      <c r="AE104" s="84"/>
      <c r="AF104" s="84"/>
      <c r="AG104" s="69"/>
      <c r="AH104" s="85"/>
      <c r="AI104" s="85"/>
      <c r="AJ104" s="85"/>
      <c r="AK104" s="85"/>
      <c r="AL104" s="85"/>
      <c r="AM104" s="85"/>
      <c r="AN104" s="85"/>
      <c r="AO104" s="79"/>
      <c r="AP104" s="79"/>
      <c r="AQ104" s="69"/>
      <c r="AR104" s="79"/>
      <c r="AS104" s="79"/>
      <c r="AT104" s="79"/>
      <c r="AU104" s="79"/>
      <c r="AV104" s="79"/>
      <c r="AW104" s="69"/>
      <c r="AX104" s="79"/>
      <c r="AY104" s="6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69"/>
      <c r="BL104" s="79"/>
    </row>
    <row r="105" spans="1:64" ht="12.75">
      <c r="A105" s="77"/>
      <c r="B105" s="7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84"/>
      <c r="AD105" s="84"/>
      <c r="AE105" s="84"/>
      <c r="AF105" s="84"/>
      <c r="AG105" s="69"/>
      <c r="AH105" s="85"/>
      <c r="AI105" s="85"/>
      <c r="AJ105" s="85"/>
      <c r="AK105" s="85"/>
      <c r="AL105" s="85"/>
      <c r="AM105" s="85"/>
      <c r="AN105" s="85"/>
      <c r="AO105" s="79"/>
      <c r="AP105" s="79"/>
      <c r="AQ105" s="69"/>
      <c r="AR105" s="79"/>
      <c r="AS105" s="79"/>
      <c r="AT105" s="79"/>
      <c r="AU105" s="79"/>
      <c r="AV105" s="79"/>
      <c r="AW105" s="69"/>
      <c r="AX105" s="79"/>
      <c r="AY105" s="6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69"/>
      <c r="BL105" s="79"/>
    </row>
    <row r="106" spans="1:64" ht="12.75">
      <c r="A106" s="77"/>
      <c r="B106" s="7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84"/>
      <c r="AD106" s="84"/>
      <c r="AE106" s="84"/>
      <c r="AF106" s="84"/>
      <c r="AG106" s="69"/>
      <c r="AH106" s="85"/>
      <c r="AI106" s="85"/>
      <c r="AJ106" s="85"/>
      <c r="AK106" s="85"/>
      <c r="AL106" s="85"/>
      <c r="AM106" s="85"/>
      <c r="AN106" s="85"/>
      <c r="AO106" s="79"/>
      <c r="AP106" s="79"/>
      <c r="AQ106" s="69"/>
      <c r="AR106" s="79"/>
      <c r="AS106" s="79"/>
      <c r="AT106" s="79"/>
      <c r="AU106" s="79"/>
      <c r="AV106" s="79"/>
      <c r="AW106" s="69"/>
      <c r="AX106" s="79"/>
      <c r="AY106" s="6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69"/>
      <c r="BL106" s="79"/>
    </row>
    <row r="107" spans="1:64" ht="12.75">
      <c r="A107" s="77"/>
      <c r="B107" s="7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84"/>
      <c r="AD107" s="84"/>
      <c r="AE107" s="84"/>
      <c r="AF107" s="84"/>
      <c r="AG107" s="69"/>
      <c r="AH107" s="85"/>
      <c r="AI107" s="85"/>
      <c r="AJ107" s="85"/>
      <c r="AK107" s="85"/>
      <c r="AL107" s="85"/>
      <c r="AM107" s="85"/>
      <c r="AN107" s="85"/>
      <c r="AO107" s="79"/>
      <c r="AP107" s="79"/>
      <c r="AQ107" s="69"/>
      <c r="AR107" s="79"/>
      <c r="AS107" s="79"/>
      <c r="AT107" s="79"/>
      <c r="AU107" s="79"/>
      <c r="AV107" s="79"/>
      <c r="AW107" s="69"/>
      <c r="AX107" s="79"/>
      <c r="AY107" s="6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69"/>
      <c r="BL107" s="79"/>
    </row>
    <row r="108" spans="1:64" ht="12.75">
      <c r="A108" s="77"/>
      <c r="B108" s="7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84"/>
      <c r="AD108" s="84"/>
      <c r="AE108" s="84"/>
      <c r="AF108" s="84"/>
      <c r="AG108" s="69"/>
      <c r="AH108" s="85"/>
      <c r="AI108" s="85"/>
      <c r="AJ108" s="85"/>
      <c r="AK108" s="85"/>
      <c r="AL108" s="85"/>
      <c r="AM108" s="85"/>
      <c r="AN108" s="85"/>
      <c r="AO108" s="79"/>
      <c r="AP108" s="79"/>
      <c r="AQ108" s="69"/>
      <c r="AR108" s="79"/>
      <c r="AS108" s="79"/>
      <c r="AT108" s="79"/>
      <c r="AU108" s="79"/>
      <c r="AV108" s="79"/>
      <c r="AW108" s="69"/>
      <c r="AX108" s="79"/>
      <c r="AY108" s="6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69"/>
      <c r="BL108" s="79"/>
    </row>
    <row r="109" spans="1:64" ht="12.75">
      <c r="A109" s="77"/>
      <c r="B109" s="7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84"/>
      <c r="AD109" s="84"/>
      <c r="AE109" s="84"/>
      <c r="AF109" s="84"/>
      <c r="AG109" s="69"/>
      <c r="AH109" s="85"/>
      <c r="AI109" s="85"/>
      <c r="AJ109" s="85"/>
      <c r="AK109" s="85"/>
      <c r="AL109" s="85"/>
      <c r="AM109" s="85"/>
      <c r="AN109" s="85"/>
      <c r="AO109" s="79"/>
      <c r="AP109" s="79"/>
      <c r="AQ109" s="69"/>
      <c r="AR109" s="79"/>
      <c r="AS109" s="79"/>
      <c r="AT109" s="79"/>
      <c r="AU109" s="79"/>
      <c r="AV109" s="79"/>
      <c r="AW109" s="69"/>
      <c r="AX109" s="79"/>
      <c r="AY109" s="6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69"/>
      <c r="BL109" s="79"/>
    </row>
    <row r="110" spans="1:64" ht="12.75">
      <c r="A110" s="77"/>
      <c r="B110" s="7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84"/>
      <c r="AD110" s="84"/>
      <c r="AE110" s="84"/>
      <c r="AF110" s="84"/>
      <c r="AG110" s="69"/>
      <c r="AH110" s="85"/>
      <c r="AI110" s="85"/>
      <c r="AJ110" s="85"/>
      <c r="AK110" s="85"/>
      <c r="AL110" s="85"/>
      <c r="AM110" s="85"/>
      <c r="AN110" s="85"/>
      <c r="AO110" s="79"/>
      <c r="AP110" s="79"/>
      <c r="AQ110" s="69"/>
      <c r="AR110" s="79"/>
      <c r="AS110" s="79"/>
      <c r="AT110" s="79"/>
      <c r="AU110" s="79"/>
      <c r="AV110" s="79"/>
      <c r="AW110" s="69"/>
      <c r="AX110" s="79"/>
      <c r="AY110" s="6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69"/>
      <c r="BL110" s="79"/>
    </row>
    <row r="111" spans="1:64" ht="12.75">
      <c r="A111" s="77"/>
      <c r="B111" s="7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84"/>
      <c r="AD111" s="84"/>
      <c r="AE111" s="84"/>
      <c r="AF111" s="84"/>
      <c r="AG111" s="69"/>
      <c r="AH111" s="85"/>
      <c r="AI111" s="85"/>
      <c r="AJ111" s="85"/>
      <c r="AK111" s="85"/>
      <c r="AL111" s="85"/>
      <c r="AM111" s="85"/>
      <c r="AN111" s="85"/>
      <c r="AO111" s="79"/>
      <c r="AP111" s="79"/>
      <c r="AQ111" s="69"/>
      <c r="AR111" s="79"/>
      <c r="AS111" s="79"/>
      <c r="AT111" s="79"/>
      <c r="AU111" s="79"/>
      <c r="AV111" s="79"/>
      <c r="AW111" s="69"/>
      <c r="AX111" s="79"/>
      <c r="AY111" s="6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69"/>
      <c r="BL111" s="79"/>
    </row>
    <row r="112" spans="1:64" ht="12.75">
      <c r="A112" s="77"/>
      <c r="B112" s="7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84"/>
      <c r="AD112" s="84"/>
      <c r="AE112" s="84"/>
      <c r="AF112" s="84"/>
      <c r="AG112" s="69"/>
      <c r="AH112" s="85"/>
      <c r="AI112" s="85"/>
      <c r="AJ112" s="85"/>
      <c r="AK112" s="85"/>
      <c r="AL112" s="85"/>
      <c r="AM112" s="85"/>
      <c r="AN112" s="85"/>
      <c r="AO112" s="79"/>
      <c r="AP112" s="79"/>
      <c r="AQ112" s="69"/>
      <c r="AR112" s="79"/>
      <c r="AS112" s="79"/>
      <c r="AT112" s="79"/>
      <c r="AU112" s="79"/>
      <c r="AV112" s="79"/>
      <c r="AW112" s="69"/>
      <c r="AX112" s="79"/>
      <c r="AY112" s="6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69"/>
      <c r="BL112" s="79"/>
    </row>
    <row r="113" spans="1:64" ht="12.75">
      <c r="A113" s="77"/>
      <c r="B113" s="7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84"/>
      <c r="AD113" s="84"/>
      <c r="AE113" s="84"/>
      <c r="AF113" s="84"/>
      <c r="AG113" s="69"/>
      <c r="AH113" s="85"/>
      <c r="AI113" s="85"/>
      <c r="AJ113" s="85"/>
      <c r="AK113" s="85"/>
      <c r="AL113" s="85"/>
      <c r="AM113" s="85"/>
      <c r="AN113" s="85"/>
      <c r="AO113" s="79"/>
      <c r="AP113" s="79"/>
      <c r="AQ113" s="69"/>
      <c r="AR113" s="79"/>
      <c r="AS113" s="79"/>
      <c r="AT113" s="79"/>
      <c r="AU113" s="79"/>
      <c r="AV113" s="79"/>
      <c r="AW113" s="69"/>
      <c r="AX113" s="79"/>
      <c r="AY113" s="6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69"/>
      <c r="BL113" s="79"/>
    </row>
    <row r="114" spans="1:64" ht="12.75">
      <c r="A114" s="77"/>
      <c r="B114" s="7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84"/>
      <c r="AD114" s="84"/>
      <c r="AE114" s="84"/>
      <c r="AF114" s="84"/>
      <c r="AG114" s="69"/>
      <c r="AH114" s="85"/>
      <c r="AI114" s="85"/>
      <c r="AJ114" s="85"/>
      <c r="AK114" s="85"/>
      <c r="AL114" s="85"/>
      <c r="AM114" s="85"/>
      <c r="AN114" s="85"/>
      <c r="AO114" s="79"/>
      <c r="AP114" s="79"/>
      <c r="AQ114" s="69"/>
      <c r="AR114" s="79"/>
      <c r="AS114" s="79"/>
      <c r="AT114" s="79"/>
      <c r="AU114" s="79"/>
      <c r="AV114" s="79"/>
      <c r="AW114" s="69"/>
      <c r="AX114" s="79"/>
      <c r="AY114" s="6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69"/>
      <c r="BL114" s="79"/>
    </row>
    <row r="115" spans="1:64" ht="12.75">
      <c r="A115" s="77"/>
      <c r="B115" s="7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84"/>
      <c r="AD115" s="84"/>
      <c r="AE115" s="84"/>
      <c r="AF115" s="84"/>
      <c r="AG115" s="69"/>
      <c r="AH115" s="85"/>
      <c r="AI115" s="85"/>
      <c r="AJ115" s="85"/>
      <c r="AK115" s="85"/>
      <c r="AL115" s="85"/>
      <c r="AM115" s="85"/>
      <c r="AN115" s="85"/>
      <c r="AO115" s="79"/>
      <c r="AP115" s="79"/>
      <c r="AQ115" s="69"/>
      <c r="AR115" s="79"/>
      <c r="AS115" s="79"/>
      <c r="AT115" s="79"/>
      <c r="AU115" s="79"/>
      <c r="AV115" s="79"/>
      <c r="AW115" s="69"/>
      <c r="AX115" s="79"/>
      <c r="AY115" s="6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69"/>
      <c r="BL115" s="79"/>
    </row>
    <row r="116" spans="1:64" ht="12.75">
      <c r="A116" s="77"/>
      <c r="B116" s="7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84"/>
      <c r="AD116" s="84"/>
      <c r="AE116" s="84"/>
      <c r="AF116" s="84"/>
      <c r="AG116" s="69"/>
      <c r="AH116" s="85"/>
      <c r="AI116" s="85"/>
      <c r="AJ116" s="85"/>
      <c r="AK116" s="85"/>
      <c r="AL116" s="85"/>
      <c r="AM116" s="85"/>
      <c r="AN116" s="85"/>
      <c r="AO116" s="79"/>
      <c r="AP116" s="79"/>
      <c r="AQ116" s="69"/>
      <c r="AR116" s="79"/>
      <c r="AS116" s="79"/>
      <c r="AT116" s="79"/>
      <c r="AU116" s="79"/>
      <c r="AV116" s="79"/>
      <c r="AW116" s="69"/>
      <c r="AX116" s="79"/>
      <c r="AY116" s="6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69"/>
      <c r="BL116" s="79"/>
    </row>
    <row r="117" spans="1:63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116"/>
      <c r="AI117" s="116"/>
      <c r="AJ117" s="116"/>
      <c r="AK117" s="116"/>
      <c r="AL117" s="116"/>
      <c r="AM117" s="116"/>
      <c r="AN117" s="116"/>
      <c r="AO117" s="77"/>
      <c r="AP117" s="77"/>
      <c r="AQ117" s="77"/>
      <c r="AW117" s="77"/>
      <c r="AY117" s="77"/>
      <c r="BK117" s="77"/>
    </row>
    <row r="118" spans="1:63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116"/>
      <c r="AI118" s="116"/>
      <c r="AJ118" s="116"/>
      <c r="AK118" s="116"/>
      <c r="AL118" s="116"/>
      <c r="AM118" s="116"/>
      <c r="AN118" s="116"/>
      <c r="AO118" s="77"/>
      <c r="AP118" s="77"/>
      <c r="AQ118" s="77"/>
      <c r="AW118" s="77"/>
      <c r="AY118" s="77"/>
      <c r="BK118" s="77"/>
    </row>
    <row r="119" spans="1:63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16"/>
      <c r="AI119" s="116"/>
      <c r="AJ119" s="116"/>
      <c r="AK119" s="116"/>
      <c r="AL119" s="116"/>
      <c r="AM119" s="116"/>
      <c r="AN119" s="116"/>
      <c r="AO119" s="77"/>
      <c r="AP119" s="77"/>
      <c r="AQ119" s="77"/>
      <c r="AW119" s="77"/>
      <c r="AY119" s="77"/>
      <c r="BK119" s="77"/>
    </row>
    <row r="120" spans="1:63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116"/>
      <c r="AI120" s="116"/>
      <c r="AJ120" s="116"/>
      <c r="AK120" s="116"/>
      <c r="AL120" s="116"/>
      <c r="AM120" s="116"/>
      <c r="AN120" s="116"/>
      <c r="AO120" s="77"/>
      <c r="AP120" s="77"/>
      <c r="AQ120" s="77"/>
      <c r="AW120" s="77"/>
      <c r="AY120" s="77"/>
      <c r="BK120" s="77"/>
    </row>
    <row r="121" spans="1:63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116"/>
      <c r="AI121" s="116"/>
      <c r="AJ121" s="116"/>
      <c r="AK121" s="116"/>
      <c r="AL121" s="116"/>
      <c r="AM121" s="116"/>
      <c r="AN121" s="116"/>
      <c r="AO121" s="77"/>
      <c r="AP121" s="77"/>
      <c r="AQ121" s="77"/>
      <c r="AW121" s="77"/>
      <c r="AY121" s="77"/>
      <c r="BK121" s="77"/>
    </row>
    <row r="122" spans="1:63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16"/>
      <c r="AI122" s="116"/>
      <c r="AJ122" s="116"/>
      <c r="AK122" s="116"/>
      <c r="AL122" s="116"/>
      <c r="AM122" s="116"/>
      <c r="AN122" s="116"/>
      <c r="AO122" s="77"/>
      <c r="AP122" s="77"/>
      <c r="AQ122" s="77"/>
      <c r="AW122" s="77"/>
      <c r="AY122" s="77"/>
      <c r="BK122" s="77"/>
    </row>
    <row r="123" spans="1:63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116"/>
      <c r="AI123" s="116"/>
      <c r="AJ123" s="116"/>
      <c r="AK123" s="116"/>
      <c r="AL123" s="116"/>
      <c r="AM123" s="116"/>
      <c r="AN123" s="116"/>
      <c r="AO123" s="77"/>
      <c r="AP123" s="77"/>
      <c r="AQ123" s="77"/>
      <c r="AW123" s="77"/>
      <c r="AY123" s="77"/>
      <c r="BK123" s="77"/>
    </row>
    <row r="124" spans="1:63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116"/>
      <c r="AI124" s="116"/>
      <c r="AJ124" s="116"/>
      <c r="AK124" s="116"/>
      <c r="AL124" s="116"/>
      <c r="AM124" s="116"/>
      <c r="AN124" s="116"/>
      <c r="AO124" s="77"/>
      <c r="AP124" s="77"/>
      <c r="AQ124" s="77"/>
      <c r="AW124" s="77"/>
      <c r="AY124" s="77"/>
      <c r="BK124" s="77"/>
    </row>
    <row r="125" spans="1:63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16"/>
      <c r="AI125" s="116"/>
      <c r="AJ125" s="116"/>
      <c r="AK125" s="116"/>
      <c r="AL125" s="116"/>
      <c r="AM125" s="116"/>
      <c r="AN125" s="116"/>
      <c r="AO125" s="77"/>
      <c r="AP125" s="77"/>
      <c r="AQ125" s="77"/>
      <c r="AW125" s="77"/>
      <c r="AY125" s="77"/>
      <c r="BK125" s="77"/>
    </row>
    <row r="126" spans="1:63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116"/>
      <c r="AI126" s="116"/>
      <c r="AJ126" s="116"/>
      <c r="AK126" s="116"/>
      <c r="AL126" s="116"/>
      <c r="AM126" s="116"/>
      <c r="AN126" s="116"/>
      <c r="AO126" s="77"/>
      <c r="AP126" s="77"/>
      <c r="AQ126" s="77"/>
      <c r="AW126" s="77"/>
      <c r="AY126" s="77"/>
      <c r="BK126" s="77"/>
    </row>
    <row r="127" spans="1:63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116"/>
      <c r="AI127" s="116"/>
      <c r="AJ127" s="116"/>
      <c r="AK127" s="116"/>
      <c r="AL127" s="116"/>
      <c r="AM127" s="116"/>
      <c r="AN127" s="116"/>
      <c r="AO127" s="77"/>
      <c r="AP127" s="77"/>
      <c r="AQ127" s="77"/>
      <c r="AW127" s="77"/>
      <c r="AY127" s="77"/>
      <c r="BK127" s="77"/>
    </row>
    <row r="128" spans="1:63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16"/>
      <c r="AI128" s="116"/>
      <c r="AJ128" s="116"/>
      <c r="AK128" s="116"/>
      <c r="AL128" s="116"/>
      <c r="AM128" s="116"/>
      <c r="AN128" s="116"/>
      <c r="AO128" s="77"/>
      <c r="AP128" s="77"/>
      <c r="AQ128" s="77"/>
      <c r="AW128" s="77"/>
      <c r="AY128" s="77"/>
      <c r="BK128" s="77"/>
    </row>
    <row r="129" spans="1:63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116"/>
      <c r="AI129" s="116"/>
      <c r="AJ129" s="116"/>
      <c r="AK129" s="116"/>
      <c r="AL129" s="116"/>
      <c r="AM129" s="116"/>
      <c r="AN129" s="116"/>
      <c r="AO129" s="77"/>
      <c r="AP129" s="77"/>
      <c r="AQ129" s="77"/>
      <c r="AW129" s="77"/>
      <c r="AY129" s="77"/>
      <c r="BK129" s="77"/>
    </row>
    <row r="130" spans="1:63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116"/>
      <c r="AI130" s="116"/>
      <c r="AJ130" s="116"/>
      <c r="AK130" s="116"/>
      <c r="AL130" s="116"/>
      <c r="AM130" s="116"/>
      <c r="AN130" s="116"/>
      <c r="AO130" s="77"/>
      <c r="AP130" s="77"/>
      <c r="AQ130" s="77"/>
      <c r="AW130" s="77"/>
      <c r="AY130" s="77"/>
      <c r="BK130" s="77"/>
    </row>
    <row r="131" spans="1:63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16"/>
      <c r="AI131" s="116"/>
      <c r="AJ131" s="116"/>
      <c r="AK131" s="116"/>
      <c r="AL131" s="116"/>
      <c r="AM131" s="116"/>
      <c r="AN131" s="116"/>
      <c r="AO131" s="77"/>
      <c r="AP131" s="77"/>
      <c r="AQ131" s="77"/>
      <c r="AW131" s="77"/>
      <c r="AY131" s="77"/>
      <c r="BK131" s="77"/>
    </row>
    <row r="132" spans="1:63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116"/>
      <c r="AI132" s="116"/>
      <c r="AJ132" s="116"/>
      <c r="AK132" s="116"/>
      <c r="AL132" s="116"/>
      <c r="AM132" s="116"/>
      <c r="AN132" s="116"/>
      <c r="AO132" s="77"/>
      <c r="AP132" s="77"/>
      <c r="AQ132" s="77"/>
      <c r="AW132" s="77"/>
      <c r="AY132" s="77"/>
      <c r="BK132" s="77"/>
    </row>
    <row r="133" spans="1:63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116"/>
      <c r="AI133" s="116"/>
      <c r="AJ133" s="116"/>
      <c r="AK133" s="116"/>
      <c r="AL133" s="116"/>
      <c r="AM133" s="116"/>
      <c r="AN133" s="116"/>
      <c r="AO133" s="77"/>
      <c r="AP133" s="77"/>
      <c r="AQ133" s="77"/>
      <c r="AW133" s="77"/>
      <c r="AY133" s="77"/>
      <c r="BK133" s="77"/>
    </row>
  </sheetData>
  <sheetProtection/>
  <printOptions/>
  <pageMargins left="1" right="1" top="0.5" bottom="0.5" header="0" footer="0.25"/>
  <pageSetup firstPageNumber="46" useFirstPageNumber="1" horizontalDpi="600" verticalDpi="600" orientation="portrait" scale="81" r:id="rId1"/>
  <headerFooter alignWithMargins="0">
    <oddFooter>&amp;C&amp;"Times New Roman,Regular"&amp;11&amp;P</oddFooter>
  </headerFooter>
  <colBreaks count="2" manualBreakCount="2">
    <brk id="22" max="93" man="1"/>
    <brk id="50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BH113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4" sqref="W4"/>
    </sheetView>
  </sheetViews>
  <sheetFormatPr defaultColWidth="8.421875" defaultRowHeight="12.75"/>
  <cols>
    <col min="1" max="1" width="17.28125" style="114" customWidth="1"/>
    <col min="2" max="2" width="1.7109375" style="114" customWidth="1"/>
    <col min="3" max="3" width="11.7109375" style="114" customWidth="1"/>
    <col min="4" max="4" width="1.7109375" style="114" customWidth="1"/>
    <col min="5" max="5" width="11.7109375" style="114" customWidth="1"/>
    <col min="6" max="6" width="1.7109375" style="114" customWidth="1"/>
    <col min="7" max="7" width="11.7109375" style="114" customWidth="1"/>
    <col min="8" max="8" width="1.7109375" style="114" customWidth="1"/>
    <col min="9" max="9" width="11.7109375" style="114" customWidth="1"/>
    <col min="10" max="10" width="1.7109375" style="114" customWidth="1"/>
    <col min="11" max="11" width="11.7109375" style="114" customWidth="1"/>
    <col min="12" max="12" width="1.7109375" style="114" customWidth="1"/>
    <col min="13" max="13" width="11.7109375" style="114" customWidth="1"/>
    <col min="14" max="14" width="1.7109375" style="114" customWidth="1"/>
    <col min="15" max="15" width="11.7109375" style="114" customWidth="1"/>
    <col min="16" max="16" width="1.7109375" style="114" customWidth="1"/>
    <col min="17" max="17" width="11.7109375" style="114" customWidth="1"/>
    <col min="18" max="18" width="1.7109375" style="114" customWidth="1"/>
    <col min="19" max="19" width="11.7109375" style="114" customWidth="1"/>
    <col min="20" max="20" width="1.7109375" style="114" customWidth="1"/>
    <col min="21" max="21" width="11.7109375" style="114" customWidth="1"/>
    <col min="22" max="22" width="1.7109375" style="114" customWidth="1"/>
    <col min="23" max="23" width="15.7109375" style="114" customWidth="1"/>
    <col min="24" max="24" width="1.7109375" style="114" customWidth="1"/>
    <col min="25" max="25" width="11.7109375" style="114" customWidth="1"/>
    <col min="26" max="26" width="1.7109375" style="114" customWidth="1"/>
    <col min="27" max="27" width="11.7109375" style="114" customWidth="1"/>
    <col min="28" max="28" width="1.7109375" style="114" customWidth="1"/>
    <col min="29" max="29" width="11.7109375" style="114" customWidth="1"/>
    <col min="30" max="30" width="1.7109375" style="114" customWidth="1"/>
    <col min="31" max="31" width="11.7109375" style="114" customWidth="1"/>
    <col min="32" max="32" width="1.7109375" style="117" customWidth="1"/>
    <col min="33" max="33" width="11.7109375" style="117" customWidth="1"/>
    <col min="34" max="34" width="1.7109375" style="117" customWidth="1"/>
    <col min="35" max="35" width="10.7109375" style="117" customWidth="1"/>
    <col min="36" max="36" width="1.7109375" style="117" customWidth="1"/>
    <col min="37" max="37" width="10.7109375" style="117" customWidth="1"/>
    <col min="38" max="38" width="1.7109375" style="117" customWidth="1"/>
    <col min="39" max="39" width="10.7109375" style="82" customWidth="1"/>
    <col min="40" max="40" width="1.7109375" style="82" customWidth="1"/>
    <col min="41" max="41" width="11.7109375" style="114" customWidth="1"/>
    <col min="42" max="42" width="1.7109375" style="82" customWidth="1"/>
    <col min="43" max="43" width="10.7109375" style="82" hidden="1" customWidth="1"/>
    <col min="44" max="44" width="1.7109375" style="82" hidden="1" customWidth="1"/>
    <col min="45" max="45" width="10.7109375" style="82" hidden="1" customWidth="1"/>
    <col min="46" max="46" width="1.7109375" style="82" hidden="1" customWidth="1"/>
    <col min="47" max="47" width="11.7109375" style="114" customWidth="1"/>
    <col min="48" max="48" width="1.7109375" style="82" customWidth="1"/>
    <col min="49" max="49" width="15.7109375" style="82" customWidth="1"/>
    <col min="50" max="50" width="1.7109375" style="82" customWidth="1"/>
    <col min="51" max="51" width="11.7109375" style="82" customWidth="1"/>
    <col min="52" max="52" width="1.7109375" style="82" customWidth="1"/>
    <col min="53" max="53" width="11.7109375" style="82" customWidth="1"/>
    <col min="54" max="54" width="1.7109375" style="82" customWidth="1"/>
    <col min="55" max="55" width="11.7109375" style="82" customWidth="1"/>
    <col min="56" max="56" width="1.7109375" style="82" customWidth="1"/>
    <col min="57" max="57" width="11.7109375" style="82" customWidth="1"/>
    <col min="58" max="58" width="1.7109375" style="82" customWidth="1"/>
    <col min="59" max="59" width="11.7109375" style="114" customWidth="1"/>
    <col min="60" max="60" width="9.140625" style="82" bestFit="1" customWidth="1"/>
    <col min="61" max="16384" width="8.421875" style="82" customWidth="1"/>
  </cols>
  <sheetData>
    <row r="1" spans="1:60" s="110" customFormat="1" ht="12.75">
      <c r="A1" s="107" t="s">
        <v>197</v>
      </c>
      <c r="B1" s="11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5" t="s">
        <v>197</v>
      </c>
      <c r="X1" s="106"/>
      <c r="Y1" s="106"/>
      <c r="Z1" s="106"/>
      <c r="AA1" s="85"/>
      <c r="AB1" s="85"/>
      <c r="AC1" s="85"/>
      <c r="AD1" s="85"/>
      <c r="AE1" s="106"/>
      <c r="AF1" s="85"/>
      <c r="AG1" s="85"/>
      <c r="AH1" s="85"/>
      <c r="AI1" s="85"/>
      <c r="AJ1" s="85"/>
      <c r="AK1" s="85"/>
      <c r="AL1" s="85"/>
      <c r="AM1" s="109"/>
      <c r="AN1" s="109"/>
      <c r="AO1" s="106"/>
      <c r="AP1" s="109"/>
      <c r="AQ1" s="109"/>
      <c r="AR1" s="109"/>
      <c r="AS1" s="109"/>
      <c r="AT1" s="109"/>
      <c r="AU1" s="106"/>
      <c r="AV1" s="109"/>
      <c r="AW1" s="107" t="s">
        <v>197</v>
      </c>
      <c r="AX1" s="109"/>
      <c r="AY1" s="109"/>
      <c r="AZ1" s="109"/>
      <c r="BA1" s="109"/>
      <c r="BB1" s="109"/>
      <c r="BC1" s="109"/>
      <c r="BD1" s="109"/>
      <c r="BE1" s="109"/>
      <c r="BF1" s="109"/>
      <c r="BG1" s="106"/>
      <c r="BH1" s="109"/>
    </row>
    <row r="2" spans="1:60" s="110" customFormat="1" ht="12.75">
      <c r="A2" s="63" t="s">
        <v>137</v>
      </c>
      <c r="B2" s="11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63" t="s">
        <v>254</v>
      </c>
      <c r="X2" s="106"/>
      <c r="Y2" s="106"/>
      <c r="Z2" s="106"/>
      <c r="AA2" s="85"/>
      <c r="AB2" s="85"/>
      <c r="AC2" s="85"/>
      <c r="AD2" s="85"/>
      <c r="AE2" s="106"/>
      <c r="AF2" s="85"/>
      <c r="AG2" s="85"/>
      <c r="AH2" s="85"/>
      <c r="AI2" s="85"/>
      <c r="AJ2" s="85"/>
      <c r="AK2" s="85"/>
      <c r="AL2" s="85"/>
      <c r="AM2" s="109"/>
      <c r="AN2" s="109"/>
      <c r="AO2" s="106"/>
      <c r="AP2" s="109"/>
      <c r="AQ2" s="109"/>
      <c r="AR2" s="109"/>
      <c r="AS2" s="109"/>
      <c r="AT2" s="109"/>
      <c r="AU2" s="106"/>
      <c r="AV2" s="109"/>
      <c r="AW2" s="107" t="s">
        <v>102</v>
      </c>
      <c r="AX2" s="109"/>
      <c r="AY2" s="109"/>
      <c r="AZ2" s="109"/>
      <c r="BA2" s="109"/>
      <c r="BB2" s="109"/>
      <c r="BC2" s="109"/>
      <c r="BD2" s="109"/>
      <c r="BE2" s="109"/>
      <c r="BF2" s="109"/>
      <c r="BG2" s="106"/>
      <c r="BH2" s="109"/>
    </row>
    <row r="3" spans="1:60" ht="12.75">
      <c r="A3" s="63" t="s">
        <v>247</v>
      </c>
      <c r="B3" s="111"/>
      <c r="C3" s="111"/>
      <c r="D3" s="111"/>
      <c r="E3" s="111"/>
      <c r="F3" s="111"/>
      <c r="G3" s="111"/>
      <c r="H3" s="111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57" t="s">
        <v>249</v>
      </c>
      <c r="X3" s="99"/>
      <c r="Y3" s="99"/>
      <c r="Z3" s="99"/>
      <c r="AA3" s="85"/>
      <c r="AB3" s="85"/>
      <c r="AC3" s="85"/>
      <c r="AD3" s="85"/>
      <c r="AE3" s="99"/>
      <c r="AF3" s="85"/>
      <c r="AG3" s="85"/>
      <c r="AH3" s="85"/>
      <c r="AI3" s="85"/>
      <c r="AJ3" s="85"/>
      <c r="AK3" s="85"/>
      <c r="AL3" s="85"/>
      <c r="AM3" s="79"/>
      <c r="AN3" s="79"/>
      <c r="AO3" s="99"/>
      <c r="AP3" s="79"/>
      <c r="AQ3" s="79"/>
      <c r="AR3" s="79"/>
      <c r="AS3" s="79"/>
      <c r="AT3" s="79"/>
      <c r="AU3" s="99"/>
      <c r="AV3" s="79"/>
      <c r="AW3" s="63" t="s">
        <v>247</v>
      </c>
      <c r="AX3" s="79"/>
      <c r="AY3" s="79"/>
      <c r="AZ3" s="79"/>
      <c r="BA3" s="79"/>
      <c r="BB3" s="79"/>
      <c r="BC3" s="79"/>
      <c r="BD3" s="79"/>
      <c r="BE3" s="79"/>
      <c r="BF3" s="79"/>
      <c r="BG3" s="99"/>
      <c r="BH3" s="79"/>
    </row>
    <row r="4" spans="1:60" ht="12.75">
      <c r="A4" s="63"/>
      <c r="B4" s="111"/>
      <c r="C4" s="111"/>
      <c r="D4" s="111"/>
      <c r="E4" s="111"/>
      <c r="F4" s="111"/>
      <c r="G4" s="111"/>
      <c r="H4" s="111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2"/>
      <c r="X4" s="99"/>
      <c r="Y4" s="99"/>
      <c r="Z4" s="99"/>
      <c r="AA4" s="85"/>
      <c r="AB4" s="85"/>
      <c r="AC4" s="85"/>
      <c r="AD4" s="85"/>
      <c r="AE4" s="99"/>
      <c r="AF4" s="85"/>
      <c r="AG4" s="85"/>
      <c r="AH4" s="85"/>
      <c r="AI4" s="85"/>
      <c r="AJ4" s="85"/>
      <c r="AK4" s="85"/>
      <c r="AL4" s="85"/>
      <c r="AM4" s="79"/>
      <c r="AN4" s="79"/>
      <c r="AO4" s="99"/>
      <c r="AP4" s="79"/>
      <c r="AQ4" s="79"/>
      <c r="AR4" s="79"/>
      <c r="AS4" s="79"/>
      <c r="AT4" s="79"/>
      <c r="AU4" s="99"/>
      <c r="AV4" s="79"/>
      <c r="AW4" s="90"/>
      <c r="AX4" s="79"/>
      <c r="AY4" s="79"/>
      <c r="AZ4" s="79"/>
      <c r="BA4" s="79"/>
      <c r="BB4" s="79"/>
      <c r="BC4" s="79"/>
      <c r="BD4" s="79"/>
      <c r="BE4" s="79"/>
      <c r="BF4" s="79"/>
      <c r="BG4" s="99"/>
      <c r="BH4" s="79"/>
    </row>
    <row r="5" spans="1:60" ht="12.75">
      <c r="A5" s="57" t="s">
        <v>184</v>
      </c>
      <c r="B5" s="2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7" t="s">
        <v>184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 t="s">
        <v>184</v>
      </c>
      <c r="AX5" s="21"/>
      <c r="BF5" s="51"/>
      <c r="BG5" s="21"/>
      <c r="BH5" s="79"/>
    </row>
    <row r="6" spans="1:60" ht="12.75">
      <c r="A6" s="57"/>
      <c r="B6" s="2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138</v>
      </c>
      <c r="P6" s="50"/>
      <c r="Q6" s="50"/>
      <c r="R6" s="50"/>
      <c r="S6" s="50"/>
      <c r="T6" s="50"/>
      <c r="U6" s="50"/>
      <c r="V6" s="21"/>
      <c r="W6" s="57"/>
      <c r="X6" s="21"/>
      <c r="Y6" s="21"/>
      <c r="Z6" s="21"/>
      <c r="AA6" s="21"/>
      <c r="AB6" s="21"/>
      <c r="AC6" s="21"/>
      <c r="AD6" s="21"/>
      <c r="AE6" s="51"/>
      <c r="AF6" s="21"/>
      <c r="AG6" s="21"/>
      <c r="AH6" s="21"/>
      <c r="AI6" s="21"/>
      <c r="AJ6" s="21"/>
      <c r="AK6" s="21"/>
      <c r="AL6" s="21"/>
      <c r="AM6" s="21"/>
      <c r="AN6" s="21"/>
      <c r="AO6" s="51"/>
      <c r="AP6" s="21"/>
      <c r="AQ6" s="21"/>
      <c r="AR6" s="21"/>
      <c r="AS6" s="21"/>
      <c r="AT6" s="21"/>
      <c r="AU6" s="51"/>
      <c r="AV6" s="21"/>
      <c r="AW6" s="57"/>
      <c r="AX6" s="21"/>
      <c r="AY6" s="50" t="s">
        <v>102</v>
      </c>
      <c r="AZ6" s="50"/>
      <c r="BA6" s="50"/>
      <c r="BB6" s="50"/>
      <c r="BC6" s="50"/>
      <c r="BD6" s="50"/>
      <c r="BE6" s="50"/>
      <c r="BF6" s="50"/>
      <c r="BG6" s="50"/>
      <c r="BH6" s="79"/>
    </row>
    <row r="7" spans="1:60" ht="12.75">
      <c r="A7" s="113"/>
      <c r="B7" s="5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51"/>
      <c r="W7" s="113"/>
      <c r="X7" s="51"/>
      <c r="Y7" s="21"/>
      <c r="Z7" s="21"/>
      <c r="AA7" s="21"/>
      <c r="AB7" s="21"/>
      <c r="AC7" s="21"/>
      <c r="AD7" s="21"/>
      <c r="AE7" s="21"/>
      <c r="AF7" s="21"/>
      <c r="AG7" s="21" t="s">
        <v>158</v>
      </c>
      <c r="AH7" s="21"/>
      <c r="AI7" s="21"/>
      <c r="AJ7" s="21"/>
      <c r="AK7" s="21"/>
      <c r="AL7" s="21"/>
      <c r="AM7" s="21"/>
      <c r="AN7" s="21"/>
      <c r="AO7" s="21"/>
      <c r="AP7" s="21"/>
      <c r="AQ7" s="21" t="s">
        <v>155</v>
      </c>
      <c r="AR7" s="21"/>
      <c r="AS7" s="21" t="s">
        <v>155</v>
      </c>
      <c r="AT7" s="21"/>
      <c r="AU7" s="21"/>
      <c r="AV7" s="21"/>
      <c r="AW7" s="113"/>
      <c r="AX7" s="21"/>
      <c r="AY7" s="21" t="s">
        <v>103</v>
      </c>
      <c r="AZ7" s="21"/>
      <c r="BA7" s="21" t="s">
        <v>104</v>
      </c>
      <c r="BB7" s="21"/>
      <c r="BC7" s="21"/>
      <c r="BD7" s="21"/>
      <c r="BE7" s="21" t="s">
        <v>105</v>
      </c>
      <c r="BF7" s="21"/>
      <c r="BG7" s="21" t="s">
        <v>4</v>
      </c>
      <c r="BH7" s="79"/>
    </row>
    <row r="8" spans="1:60" ht="12.75">
      <c r="A8" s="113"/>
      <c r="B8" s="21"/>
      <c r="C8" s="21" t="s">
        <v>135</v>
      </c>
      <c r="D8" s="21"/>
      <c r="E8" s="21" t="s">
        <v>156</v>
      </c>
      <c r="F8" s="21"/>
      <c r="G8" s="21" t="s">
        <v>4</v>
      </c>
      <c r="H8" s="21"/>
      <c r="I8" s="21" t="s">
        <v>135</v>
      </c>
      <c r="J8" s="21"/>
      <c r="K8" s="21" t="s">
        <v>156</v>
      </c>
      <c r="L8" s="21"/>
      <c r="M8" s="21" t="s">
        <v>4</v>
      </c>
      <c r="N8" s="21"/>
      <c r="O8" s="21" t="s">
        <v>139</v>
      </c>
      <c r="P8" s="21"/>
      <c r="Q8" s="21"/>
      <c r="R8" s="21"/>
      <c r="S8" s="21"/>
      <c r="T8" s="21"/>
      <c r="U8" s="21" t="s">
        <v>232</v>
      </c>
      <c r="V8" s="21"/>
      <c r="W8" s="113"/>
      <c r="X8" s="21"/>
      <c r="Y8" s="21" t="s">
        <v>101</v>
      </c>
      <c r="Z8" s="21"/>
      <c r="AA8" s="21" t="s">
        <v>157</v>
      </c>
      <c r="AB8" s="21"/>
      <c r="AC8" s="21"/>
      <c r="AD8" s="21"/>
      <c r="AE8" s="21" t="s">
        <v>101</v>
      </c>
      <c r="AF8" s="21"/>
      <c r="AG8" s="21" t="s">
        <v>12</v>
      </c>
      <c r="AH8" s="21"/>
      <c r="AI8" s="21"/>
      <c r="AJ8" s="21"/>
      <c r="AK8" s="21"/>
      <c r="AL8" s="21"/>
      <c r="AM8" s="21" t="s">
        <v>87</v>
      </c>
      <c r="AN8" s="21"/>
      <c r="AO8" s="21" t="s">
        <v>231</v>
      </c>
      <c r="AP8" s="21"/>
      <c r="AQ8" s="21" t="s">
        <v>159</v>
      </c>
      <c r="AR8" s="21"/>
      <c r="AS8" s="21" t="s">
        <v>159</v>
      </c>
      <c r="AT8" s="21"/>
      <c r="AU8" s="21" t="s">
        <v>106</v>
      </c>
      <c r="AV8" s="21"/>
      <c r="AW8" s="113"/>
      <c r="AX8" s="21"/>
      <c r="AY8" s="21" t="s">
        <v>107</v>
      </c>
      <c r="AZ8" s="21"/>
      <c r="BA8" s="21" t="s">
        <v>12</v>
      </c>
      <c r="BB8" s="21"/>
      <c r="BC8" s="21"/>
      <c r="BD8" s="21"/>
      <c r="BE8" s="21" t="s">
        <v>108</v>
      </c>
      <c r="BF8" s="21"/>
      <c r="BG8" s="21" t="s">
        <v>108</v>
      </c>
      <c r="BH8" s="79"/>
    </row>
    <row r="9" spans="1:60" ht="12.75">
      <c r="A9" s="115" t="s">
        <v>5</v>
      </c>
      <c r="B9" s="82"/>
      <c r="C9" s="20" t="s">
        <v>116</v>
      </c>
      <c r="D9" s="82"/>
      <c r="E9" s="20" t="s">
        <v>116</v>
      </c>
      <c r="F9" s="82"/>
      <c r="G9" s="20" t="s">
        <v>116</v>
      </c>
      <c r="H9" s="82"/>
      <c r="I9" s="20" t="s">
        <v>122</v>
      </c>
      <c r="J9" s="82"/>
      <c r="K9" s="20" t="s">
        <v>122</v>
      </c>
      <c r="L9" s="82"/>
      <c r="M9" s="20" t="s">
        <v>122</v>
      </c>
      <c r="N9" s="82"/>
      <c r="O9" s="20" t="s">
        <v>141</v>
      </c>
      <c r="P9" s="82"/>
      <c r="Q9" s="20" t="s">
        <v>142</v>
      </c>
      <c r="R9" s="82"/>
      <c r="S9" s="20" t="s">
        <v>143</v>
      </c>
      <c r="T9" s="82"/>
      <c r="U9" s="20" t="s">
        <v>116</v>
      </c>
      <c r="V9" s="82"/>
      <c r="W9" s="115" t="s">
        <v>5</v>
      </c>
      <c r="X9" s="82"/>
      <c r="Y9" s="20" t="s">
        <v>12</v>
      </c>
      <c r="Z9" s="82"/>
      <c r="AA9" s="20" t="s">
        <v>109</v>
      </c>
      <c r="AB9" s="82"/>
      <c r="AC9" s="20" t="s">
        <v>109</v>
      </c>
      <c r="AD9" s="82"/>
      <c r="AE9" s="20" t="s">
        <v>110</v>
      </c>
      <c r="AF9" s="82"/>
      <c r="AG9" s="20" t="s">
        <v>230</v>
      </c>
      <c r="AH9" s="82"/>
      <c r="AI9" s="20" t="s">
        <v>111</v>
      </c>
      <c r="AJ9" s="82"/>
      <c r="AK9" s="20" t="s">
        <v>112</v>
      </c>
      <c r="AL9" s="82"/>
      <c r="AM9" s="20" t="s">
        <v>161</v>
      </c>
      <c r="AO9" s="20" t="s">
        <v>138</v>
      </c>
      <c r="AQ9" s="20" t="s">
        <v>162</v>
      </c>
      <c r="AS9" s="20" t="s">
        <v>163</v>
      </c>
      <c r="AU9" s="20" t="s">
        <v>87</v>
      </c>
      <c r="AW9" s="115" t="s">
        <v>5</v>
      </c>
      <c r="AY9" s="20" t="s">
        <v>113</v>
      </c>
      <c r="BA9" s="20" t="s">
        <v>113</v>
      </c>
      <c r="BC9" s="20" t="s">
        <v>114</v>
      </c>
      <c r="BE9" s="20" t="s">
        <v>115</v>
      </c>
      <c r="BG9" s="20" t="s">
        <v>122</v>
      </c>
      <c r="BH9" s="79"/>
    </row>
    <row r="10" spans="1:60" ht="12.75">
      <c r="A10" s="113"/>
      <c r="B10" s="82"/>
      <c r="C10" s="21"/>
      <c r="D10" s="82"/>
      <c r="E10" s="21"/>
      <c r="F10" s="82"/>
      <c r="G10" s="21"/>
      <c r="H10" s="82"/>
      <c r="I10" s="21"/>
      <c r="J10" s="82"/>
      <c r="K10" s="21"/>
      <c r="L10" s="82"/>
      <c r="M10" s="21"/>
      <c r="N10" s="82"/>
      <c r="O10" s="21"/>
      <c r="P10" s="82"/>
      <c r="Q10" s="21"/>
      <c r="R10" s="82"/>
      <c r="S10" s="21"/>
      <c r="T10" s="82"/>
      <c r="U10" s="21"/>
      <c r="V10" s="82"/>
      <c r="W10" s="113"/>
      <c r="X10" s="82"/>
      <c r="Y10" s="21"/>
      <c r="Z10" s="82"/>
      <c r="AA10" s="21"/>
      <c r="AB10" s="82"/>
      <c r="AC10" s="21"/>
      <c r="AD10" s="82"/>
      <c r="AE10" s="21"/>
      <c r="AF10" s="82"/>
      <c r="AG10" s="21"/>
      <c r="AH10" s="82"/>
      <c r="AI10" s="21"/>
      <c r="AJ10" s="82"/>
      <c r="AK10" s="21"/>
      <c r="AL10" s="82"/>
      <c r="AM10" s="21"/>
      <c r="AO10" s="21"/>
      <c r="AQ10" s="21"/>
      <c r="AS10" s="21"/>
      <c r="AU10" s="21"/>
      <c r="AW10" s="113"/>
      <c r="AY10" s="21"/>
      <c r="BA10" s="21"/>
      <c r="BC10" s="21"/>
      <c r="BE10" s="21"/>
      <c r="BG10" s="21"/>
      <c r="BH10" s="79"/>
    </row>
    <row r="11" spans="1:60" ht="12.75" hidden="1">
      <c r="A11" s="77" t="s">
        <v>13</v>
      </c>
      <c r="B11" s="96"/>
      <c r="C11" s="35">
        <f>G11-E11</f>
        <v>0</v>
      </c>
      <c r="D11" s="35"/>
      <c r="E11" s="35">
        <v>0</v>
      </c>
      <c r="F11" s="35"/>
      <c r="G11" s="35">
        <v>0</v>
      </c>
      <c r="H11" s="35"/>
      <c r="I11" s="35">
        <f>M11-K11</f>
        <v>0</v>
      </c>
      <c r="J11" s="35"/>
      <c r="K11" s="35">
        <f>SUM(BG11)</f>
        <v>0</v>
      </c>
      <c r="L11" s="35"/>
      <c r="M11" s="35">
        <v>0</v>
      </c>
      <c r="N11" s="35"/>
      <c r="O11" s="35">
        <v>0</v>
      </c>
      <c r="P11" s="35"/>
      <c r="Q11" s="35">
        <v>0</v>
      </c>
      <c r="R11" s="35"/>
      <c r="S11" s="35">
        <v>0</v>
      </c>
      <c r="T11" s="35"/>
      <c r="U11" s="35">
        <f>SUM(O11:S11)</f>
        <v>0</v>
      </c>
      <c r="V11" s="96"/>
      <c r="W11" s="77" t="s">
        <v>13</v>
      </c>
      <c r="X11" s="96"/>
      <c r="Y11" s="17">
        <v>0</v>
      </c>
      <c r="Z11" s="17"/>
      <c r="AA11" s="17">
        <v>0</v>
      </c>
      <c r="AB11" s="17"/>
      <c r="AC11" s="17">
        <v>0</v>
      </c>
      <c r="AD11" s="17"/>
      <c r="AE11" s="35">
        <f>+Y11-AA11-AC11</f>
        <v>0</v>
      </c>
      <c r="AF11" s="40"/>
      <c r="AG11" s="40">
        <v>0</v>
      </c>
      <c r="AH11" s="40"/>
      <c r="AI11" s="17">
        <v>0</v>
      </c>
      <c r="AJ11" s="17"/>
      <c r="AK11" s="17">
        <v>0</v>
      </c>
      <c r="AL11" s="17"/>
      <c r="AM11" s="17">
        <v>0</v>
      </c>
      <c r="AN11" s="17"/>
      <c r="AO11" s="35">
        <f>+AE11+AG11+AI11-AK11+AM11</f>
        <v>0</v>
      </c>
      <c r="AP11" s="40"/>
      <c r="AQ11" s="17">
        <v>0</v>
      </c>
      <c r="AR11" s="17"/>
      <c r="AS11" s="17">
        <v>0</v>
      </c>
      <c r="AT11" s="17"/>
      <c r="AU11" s="35">
        <f>+C11-I11</f>
        <v>0</v>
      </c>
      <c r="AV11" s="96"/>
      <c r="AW11" s="77" t="s">
        <v>13</v>
      </c>
      <c r="AX11" s="96"/>
      <c r="AY11" s="17">
        <v>0</v>
      </c>
      <c r="AZ11" s="17"/>
      <c r="BA11" s="17">
        <v>0</v>
      </c>
      <c r="BB11" s="17"/>
      <c r="BC11" s="17">
        <v>0</v>
      </c>
      <c r="BD11" s="17"/>
      <c r="BE11" s="17">
        <v>0</v>
      </c>
      <c r="BF11" s="17"/>
      <c r="BG11" s="35">
        <f>SUM(AY11:BE11)</f>
        <v>0</v>
      </c>
      <c r="BH11" s="79"/>
    </row>
    <row r="12" spans="1:60" ht="12.75" hidden="1">
      <c r="A12" s="77"/>
      <c r="B12" s="96"/>
      <c r="C12" s="35">
        <f>G12-E12</f>
        <v>0</v>
      </c>
      <c r="D12" s="35"/>
      <c r="E12" s="35">
        <v>0</v>
      </c>
      <c r="F12" s="35"/>
      <c r="G12" s="35">
        <v>0</v>
      </c>
      <c r="H12" s="35"/>
      <c r="I12" s="35">
        <f aca="true" t="shared" si="0" ref="I12:I76">M12-K12</f>
        <v>0</v>
      </c>
      <c r="J12" s="35"/>
      <c r="K12" s="35">
        <f>SUM(BG12)</f>
        <v>0</v>
      </c>
      <c r="L12" s="35"/>
      <c r="M12" s="35">
        <v>0</v>
      </c>
      <c r="N12" s="35"/>
      <c r="O12" s="35">
        <v>0</v>
      </c>
      <c r="P12" s="35"/>
      <c r="Q12" s="35">
        <v>0</v>
      </c>
      <c r="R12" s="35"/>
      <c r="S12" s="35">
        <v>0</v>
      </c>
      <c r="T12" s="35"/>
      <c r="U12" s="35">
        <f aca="true" t="shared" si="1" ref="U12:U76">SUM(O12:S12)</f>
        <v>0</v>
      </c>
      <c r="V12" s="96"/>
      <c r="W12" s="77"/>
      <c r="X12" s="96"/>
      <c r="Y12" s="17">
        <v>0</v>
      </c>
      <c r="Z12" s="17"/>
      <c r="AA12" s="17">
        <v>0</v>
      </c>
      <c r="AB12" s="17"/>
      <c r="AC12" s="17">
        <v>0</v>
      </c>
      <c r="AD12" s="17"/>
      <c r="AE12" s="35">
        <f aca="true" t="shared" si="2" ref="AE12:AE76">+Y12-AA12-AC12</f>
        <v>0</v>
      </c>
      <c r="AF12" s="40"/>
      <c r="AG12" s="40">
        <v>0</v>
      </c>
      <c r="AH12" s="40"/>
      <c r="AI12" s="17">
        <v>0</v>
      </c>
      <c r="AJ12" s="17"/>
      <c r="AK12" s="17">
        <v>0</v>
      </c>
      <c r="AL12" s="17"/>
      <c r="AM12" s="17">
        <v>0</v>
      </c>
      <c r="AN12" s="17"/>
      <c r="AO12" s="35">
        <f aca="true" t="shared" si="3" ref="AO12:AO76">+AE12+AG12+AI12-AK12+AM12</f>
        <v>0</v>
      </c>
      <c r="AP12" s="40"/>
      <c r="AQ12" s="17">
        <v>0</v>
      </c>
      <c r="AR12" s="17"/>
      <c r="AS12" s="17">
        <v>0</v>
      </c>
      <c r="AT12" s="17"/>
      <c r="AU12" s="35">
        <f aca="true" t="shared" si="4" ref="AU12:AU76">+C12-I12</f>
        <v>0</v>
      </c>
      <c r="AV12" s="96"/>
      <c r="AW12" s="77"/>
      <c r="AX12" s="96"/>
      <c r="AY12" s="17">
        <v>0</v>
      </c>
      <c r="AZ12" s="17"/>
      <c r="BA12" s="17">
        <v>0</v>
      </c>
      <c r="BB12" s="17"/>
      <c r="BC12" s="17">
        <v>0</v>
      </c>
      <c r="BD12" s="17"/>
      <c r="BE12" s="17">
        <v>0</v>
      </c>
      <c r="BF12" s="17"/>
      <c r="BG12" s="35">
        <f>SUM(AY12:BE12)</f>
        <v>0</v>
      </c>
      <c r="BH12" s="79"/>
    </row>
    <row r="13" spans="1:60" s="120" customFormat="1" ht="12.75" hidden="1">
      <c r="A13" s="80" t="s">
        <v>13</v>
      </c>
      <c r="B13" s="118"/>
      <c r="C13" s="74">
        <f aca="true" t="shared" si="5" ref="C13:C28">G13-E13</f>
        <v>0</v>
      </c>
      <c r="D13" s="74"/>
      <c r="E13" s="74">
        <v>0</v>
      </c>
      <c r="F13" s="74"/>
      <c r="G13" s="74">
        <v>0</v>
      </c>
      <c r="H13" s="74"/>
      <c r="I13" s="74">
        <f aca="true" t="shared" si="6" ref="I13:I28">M13-K13</f>
        <v>0</v>
      </c>
      <c r="J13" s="74"/>
      <c r="K13" s="74">
        <f aca="true" t="shared" si="7" ref="K13:K28">SUM(BG13)</f>
        <v>0</v>
      </c>
      <c r="L13" s="74"/>
      <c r="M13" s="74">
        <v>0</v>
      </c>
      <c r="N13" s="74"/>
      <c r="O13" s="74">
        <v>0</v>
      </c>
      <c r="P13" s="74"/>
      <c r="Q13" s="74">
        <v>0</v>
      </c>
      <c r="R13" s="74"/>
      <c r="S13" s="74">
        <v>0</v>
      </c>
      <c r="T13" s="74"/>
      <c r="U13" s="74">
        <f aca="true" t="shared" si="8" ref="U13:U28">SUM(O13:S13)</f>
        <v>0</v>
      </c>
      <c r="V13" s="118"/>
      <c r="W13" s="80" t="s">
        <v>13</v>
      </c>
      <c r="X13" s="118"/>
      <c r="Y13" s="74">
        <v>0</v>
      </c>
      <c r="Z13" s="48"/>
      <c r="AA13" s="74">
        <v>0</v>
      </c>
      <c r="AB13" s="48"/>
      <c r="AC13" s="74">
        <v>0</v>
      </c>
      <c r="AD13" s="48"/>
      <c r="AE13" s="74">
        <f aca="true" t="shared" si="9" ref="AE13:AE28">+Y13-AA13-AC13</f>
        <v>0</v>
      </c>
      <c r="AF13" s="61"/>
      <c r="AG13" s="74">
        <v>0</v>
      </c>
      <c r="AH13" s="61"/>
      <c r="AI13" s="74">
        <v>0</v>
      </c>
      <c r="AJ13" s="48"/>
      <c r="AK13" s="74">
        <v>0</v>
      </c>
      <c r="AL13" s="48"/>
      <c r="AM13" s="74">
        <v>0</v>
      </c>
      <c r="AN13" s="48"/>
      <c r="AO13" s="74">
        <f aca="true" t="shared" si="10" ref="AO13:AO28">+AE13+AG13+AI13-AK13+AM13</f>
        <v>0</v>
      </c>
      <c r="AP13" s="61"/>
      <c r="AQ13" s="48"/>
      <c r="AR13" s="48"/>
      <c r="AS13" s="48"/>
      <c r="AT13" s="48"/>
      <c r="AU13" s="74">
        <f aca="true" t="shared" si="11" ref="AU13:AU28">+C13-I13</f>
        <v>0</v>
      </c>
      <c r="AV13" s="118"/>
      <c r="AW13" s="80" t="s">
        <v>13</v>
      </c>
      <c r="AX13" s="118"/>
      <c r="AY13" s="74">
        <v>0</v>
      </c>
      <c r="AZ13" s="48"/>
      <c r="BA13" s="74">
        <v>0</v>
      </c>
      <c r="BB13" s="48"/>
      <c r="BC13" s="74">
        <v>0</v>
      </c>
      <c r="BD13" s="48"/>
      <c r="BE13" s="74">
        <v>0</v>
      </c>
      <c r="BF13" s="48"/>
      <c r="BG13" s="74">
        <f>SUM(AY13:BE13)</f>
        <v>0</v>
      </c>
      <c r="BH13" s="119"/>
    </row>
    <row r="14" spans="1:60" s="120" customFormat="1" ht="12.75">
      <c r="A14" s="80" t="s">
        <v>14</v>
      </c>
      <c r="B14" s="118"/>
      <c r="C14" s="74">
        <f t="shared" si="5"/>
        <v>1001332</v>
      </c>
      <c r="D14" s="74"/>
      <c r="E14" s="74">
        <v>84690</v>
      </c>
      <c r="F14" s="74"/>
      <c r="G14" s="74">
        <v>1086022</v>
      </c>
      <c r="H14" s="74"/>
      <c r="I14" s="74">
        <f t="shared" si="6"/>
        <v>43764</v>
      </c>
      <c r="J14" s="74"/>
      <c r="K14" s="74">
        <f t="shared" si="7"/>
        <v>1776371</v>
      </c>
      <c r="L14" s="74"/>
      <c r="M14" s="74">
        <v>1820135</v>
      </c>
      <c r="N14" s="74"/>
      <c r="O14" s="74">
        <v>84690</v>
      </c>
      <c r="P14" s="74"/>
      <c r="Q14" s="74">
        <v>0</v>
      </c>
      <c r="R14" s="74"/>
      <c r="S14" s="74">
        <v>-818803</v>
      </c>
      <c r="T14" s="74"/>
      <c r="U14" s="74">
        <f t="shared" si="8"/>
        <v>-734113</v>
      </c>
      <c r="V14" s="74"/>
      <c r="W14" s="80" t="s">
        <v>14</v>
      </c>
      <c r="X14" s="74"/>
      <c r="Y14" s="74">
        <v>271960</v>
      </c>
      <c r="Z14" s="48"/>
      <c r="AA14" s="74">
        <f>61204+15541+98795+121429</f>
        <v>296969</v>
      </c>
      <c r="AB14" s="48"/>
      <c r="AC14" s="74">
        <v>3870</v>
      </c>
      <c r="AD14" s="48"/>
      <c r="AE14" s="74">
        <f t="shared" si="9"/>
        <v>-28879</v>
      </c>
      <c r="AF14" s="61"/>
      <c r="AG14" s="74">
        <v>0</v>
      </c>
      <c r="AH14" s="61"/>
      <c r="AI14" s="74">
        <v>0</v>
      </c>
      <c r="AJ14" s="48"/>
      <c r="AK14" s="74">
        <v>0</v>
      </c>
      <c r="AL14" s="48"/>
      <c r="AM14" s="74">
        <v>0</v>
      </c>
      <c r="AN14" s="48"/>
      <c r="AO14" s="74">
        <f t="shared" si="10"/>
        <v>-28879</v>
      </c>
      <c r="AP14" s="61"/>
      <c r="AQ14" s="48">
        <v>0</v>
      </c>
      <c r="AR14" s="48"/>
      <c r="AS14" s="48">
        <v>0</v>
      </c>
      <c r="AT14" s="48"/>
      <c r="AU14" s="74">
        <f t="shared" si="11"/>
        <v>957568</v>
      </c>
      <c r="AV14" s="48"/>
      <c r="AW14" s="80" t="s">
        <v>14</v>
      </c>
      <c r="AX14" s="48"/>
      <c r="AY14" s="74">
        <v>0</v>
      </c>
      <c r="AZ14" s="48"/>
      <c r="BA14" s="74">
        <v>0</v>
      </c>
      <c r="BB14" s="48"/>
      <c r="BC14" s="74">
        <v>0</v>
      </c>
      <c r="BD14" s="48"/>
      <c r="BE14" s="74">
        <f>1775129+1242</f>
        <v>1776371</v>
      </c>
      <c r="BF14" s="48"/>
      <c r="BG14" s="74">
        <f>SUM(AY14:BE14)</f>
        <v>1776371</v>
      </c>
      <c r="BH14" s="119"/>
    </row>
    <row r="15" spans="1:60" ht="12.75" hidden="1">
      <c r="A15" s="77" t="s">
        <v>15</v>
      </c>
      <c r="B15" s="96"/>
      <c r="C15" s="35">
        <f t="shared" si="5"/>
        <v>0</v>
      </c>
      <c r="D15" s="35"/>
      <c r="E15" s="35">
        <v>0</v>
      </c>
      <c r="F15" s="35"/>
      <c r="G15" s="35">
        <v>0</v>
      </c>
      <c r="H15" s="35"/>
      <c r="I15" s="35">
        <f t="shared" si="6"/>
        <v>0</v>
      </c>
      <c r="J15" s="35"/>
      <c r="K15" s="35">
        <f t="shared" si="7"/>
        <v>0</v>
      </c>
      <c r="L15" s="35"/>
      <c r="M15" s="35">
        <v>0</v>
      </c>
      <c r="N15" s="35"/>
      <c r="O15" s="35">
        <v>0</v>
      </c>
      <c r="P15" s="35"/>
      <c r="Q15" s="35">
        <v>0</v>
      </c>
      <c r="R15" s="35"/>
      <c r="S15" s="35">
        <v>0</v>
      </c>
      <c r="T15" s="35"/>
      <c r="U15" s="35">
        <f t="shared" si="8"/>
        <v>0</v>
      </c>
      <c r="V15" s="96"/>
      <c r="W15" s="81" t="s">
        <v>15</v>
      </c>
      <c r="X15" s="96"/>
      <c r="Y15" s="35">
        <v>0</v>
      </c>
      <c r="Z15" s="17"/>
      <c r="AA15" s="35">
        <v>0</v>
      </c>
      <c r="AB15" s="17"/>
      <c r="AC15" s="35">
        <v>0</v>
      </c>
      <c r="AD15" s="17"/>
      <c r="AE15" s="35">
        <f t="shared" si="9"/>
        <v>0</v>
      </c>
      <c r="AF15" s="40"/>
      <c r="AG15" s="35">
        <v>0</v>
      </c>
      <c r="AH15" s="40"/>
      <c r="AI15" s="35">
        <v>0</v>
      </c>
      <c r="AJ15" s="17"/>
      <c r="AK15" s="35">
        <v>0</v>
      </c>
      <c r="AL15" s="17"/>
      <c r="AM15" s="35">
        <v>0</v>
      </c>
      <c r="AN15" s="17"/>
      <c r="AO15" s="35">
        <f t="shared" si="10"/>
        <v>0</v>
      </c>
      <c r="AP15" s="40"/>
      <c r="AQ15" s="17">
        <v>0</v>
      </c>
      <c r="AR15" s="17"/>
      <c r="AS15" s="17">
        <v>0</v>
      </c>
      <c r="AT15" s="17"/>
      <c r="AU15" s="35">
        <f t="shared" si="11"/>
        <v>0</v>
      </c>
      <c r="AV15" s="96"/>
      <c r="AW15" s="81" t="s">
        <v>15</v>
      </c>
      <c r="AX15" s="96"/>
      <c r="AY15" s="35">
        <v>0</v>
      </c>
      <c r="AZ15" s="17"/>
      <c r="BA15" s="35">
        <v>0</v>
      </c>
      <c r="BB15" s="17"/>
      <c r="BC15" s="35">
        <v>0</v>
      </c>
      <c r="BD15" s="17"/>
      <c r="BE15" s="35">
        <v>0</v>
      </c>
      <c r="BF15" s="17"/>
      <c r="BG15" s="35">
        <f aca="true" t="shared" si="12" ref="BG15:BG28">SUM(AY15:BE15)</f>
        <v>0</v>
      </c>
      <c r="BH15" s="79"/>
    </row>
    <row r="16" spans="1:60" ht="12.75" hidden="1">
      <c r="A16" s="77" t="s">
        <v>16</v>
      </c>
      <c r="B16" s="96"/>
      <c r="C16" s="35">
        <f t="shared" si="5"/>
        <v>0</v>
      </c>
      <c r="D16" s="35"/>
      <c r="E16" s="35">
        <v>0</v>
      </c>
      <c r="F16" s="35"/>
      <c r="G16" s="35">
        <v>0</v>
      </c>
      <c r="H16" s="35"/>
      <c r="I16" s="35">
        <f t="shared" si="6"/>
        <v>0</v>
      </c>
      <c r="J16" s="35"/>
      <c r="K16" s="35">
        <f t="shared" si="7"/>
        <v>0</v>
      </c>
      <c r="L16" s="35"/>
      <c r="M16" s="35"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5">
        <f t="shared" si="8"/>
        <v>0</v>
      </c>
      <c r="V16" s="96"/>
      <c r="W16" s="81" t="s">
        <v>16</v>
      </c>
      <c r="X16" s="96"/>
      <c r="Y16" s="35">
        <v>0</v>
      </c>
      <c r="Z16" s="17"/>
      <c r="AA16" s="35">
        <v>0</v>
      </c>
      <c r="AB16" s="17"/>
      <c r="AC16" s="35">
        <v>0</v>
      </c>
      <c r="AD16" s="17"/>
      <c r="AE16" s="35">
        <f t="shared" si="9"/>
        <v>0</v>
      </c>
      <c r="AF16" s="40"/>
      <c r="AG16" s="35">
        <v>0</v>
      </c>
      <c r="AH16" s="40"/>
      <c r="AI16" s="35">
        <v>0</v>
      </c>
      <c r="AJ16" s="17"/>
      <c r="AK16" s="35">
        <v>0</v>
      </c>
      <c r="AL16" s="17"/>
      <c r="AM16" s="35">
        <v>0</v>
      </c>
      <c r="AN16" s="17"/>
      <c r="AO16" s="35">
        <f t="shared" si="10"/>
        <v>0</v>
      </c>
      <c r="AP16" s="40"/>
      <c r="AQ16" s="17">
        <v>0</v>
      </c>
      <c r="AR16" s="17"/>
      <c r="AS16" s="17">
        <v>0</v>
      </c>
      <c r="AT16" s="17"/>
      <c r="AU16" s="35">
        <f t="shared" si="11"/>
        <v>0</v>
      </c>
      <c r="AV16" s="96"/>
      <c r="AW16" s="81" t="s">
        <v>16</v>
      </c>
      <c r="AX16" s="96"/>
      <c r="AY16" s="35">
        <v>0</v>
      </c>
      <c r="AZ16" s="17"/>
      <c r="BA16" s="35">
        <v>0</v>
      </c>
      <c r="BB16" s="17"/>
      <c r="BC16" s="35">
        <v>0</v>
      </c>
      <c r="BD16" s="17"/>
      <c r="BE16" s="35">
        <v>0</v>
      </c>
      <c r="BF16" s="17"/>
      <c r="BG16" s="35">
        <f t="shared" si="12"/>
        <v>0</v>
      </c>
      <c r="BH16" s="79"/>
    </row>
    <row r="17" spans="1:60" ht="12.75" hidden="1">
      <c r="A17" s="77" t="s">
        <v>17</v>
      </c>
      <c r="B17" s="96"/>
      <c r="C17" s="35">
        <f t="shared" si="5"/>
        <v>0</v>
      </c>
      <c r="D17" s="35"/>
      <c r="E17" s="35">
        <v>0</v>
      </c>
      <c r="F17" s="35"/>
      <c r="G17" s="35">
        <v>0</v>
      </c>
      <c r="H17" s="35"/>
      <c r="I17" s="35">
        <f t="shared" si="6"/>
        <v>0</v>
      </c>
      <c r="J17" s="35"/>
      <c r="K17" s="35">
        <f t="shared" si="7"/>
        <v>0</v>
      </c>
      <c r="L17" s="35"/>
      <c r="M17" s="35">
        <v>0</v>
      </c>
      <c r="N17" s="35"/>
      <c r="O17" s="35">
        <v>0</v>
      </c>
      <c r="P17" s="35"/>
      <c r="Q17" s="35">
        <v>0</v>
      </c>
      <c r="R17" s="35"/>
      <c r="S17" s="35">
        <v>0</v>
      </c>
      <c r="T17" s="35"/>
      <c r="U17" s="35">
        <f t="shared" si="8"/>
        <v>0</v>
      </c>
      <c r="V17" s="96"/>
      <c r="W17" s="81" t="s">
        <v>17</v>
      </c>
      <c r="X17" s="96"/>
      <c r="Y17" s="35">
        <v>0</v>
      </c>
      <c r="Z17" s="17"/>
      <c r="AA17" s="35">
        <v>0</v>
      </c>
      <c r="AB17" s="17"/>
      <c r="AC17" s="35">
        <v>0</v>
      </c>
      <c r="AD17" s="17"/>
      <c r="AE17" s="35">
        <f t="shared" si="9"/>
        <v>0</v>
      </c>
      <c r="AF17" s="40"/>
      <c r="AG17" s="35">
        <v>0</v>
      </c>
      <c r="AH17" s="40"/>
      <c r="AI17" s="35">
        <v>0</v>
      </c>
      <c r="AJ17" s="17"/>
      <c r="AK17" s="35">
        <v>0</v>
      </c>
      <c r="AL17" s="17"/>
      <c r="AM17" s="35">
        <v>0</v>
      </c>
      <c r="AN17" s="17"/>
      <c r="AO17" s="35">
        <f t="shared" si="10"/>
        <v>0</v>
      </c>
      <c r="AP17" s="40"/>
      <c r="AQ17" s="17">
        <v>0</v>
      </c>
      <c r="AR17" s="17"/>
      <c r="AS17" s="17">
        <v>0</v>
      </c>
      <c r="AT17" s="17"/>
      <c r="AU17" s="35">
        <f t="shared" si="11"/>
        <v>0</v>
      </c>
      <c r="AV17" s="96"/>
      <c r="AW17" s="81" t="s">
        <v>17</v>
      </c>
      <c r="AX17" s="96"/>
      <c r="AY17" s="35">
        <v>0</v>
      </c>
      <c r="AZ17" s="17"/>
      <c r="BA17" s="35">
        <v>0</v>
      </c>
      <c r="BB17" s="17"/>
      <c r="BC17" s="35">
        <v>0</v>
      </c>
      <c r="BD17" s="17"/>
      <c r="BE17" s="35">
        <v>0</v>
      </c>
      <c r="BF17" s="17"/>
      <c r="BG17" s="35">
        <f t="shared" si="12"/>
        <v>0</v>
      </c>
      <c r="BH17" s="79"/>
    </row>
    <row r="18" spans="1:60" ht="12.75" hidden="1">
      <c r="A18" s="77" t="s">
        <v>18</v>
      </c>
      <c r="B18" s="96"/>
      <c r="C18" s="35">
        <f t="shared" si="5"/>
        <v>0</v>
      </c>
      <c r="D18" s="35"/>
      <c r="E18" s="35">
        <v>0</v>
      </c>
      <c r="F18" s="35"/>
      <c r="G18" s="35">
        <v>0</v>
      </c>
      <c r="H18" s="35"/>
      <c r="I18" s="35">
        <f t="shared" si="6"/>
        <v>0</v>
      </c>
      <c r="J18" s="35"/>
      <c r="K18" s="35">
        <f t="shared" si="7"/>
        <v>0</v>
      </c>
      <c r="L18" s="35"/>
      <c r="M18" s="35"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5">
        <f t="shared" si="8"/>
        <v>0</v>
      </c>
      <c r="V18" s="96"/>
      <c r="W18" s="81" t="s">
        <v>18</v>
      </c>
      <c r="X18" s="96"/>
      <c r="Y18" s="35">
        <v>0</v>
      </c>
      <c r="Z18" s="17"/>
      <c r="AA18" s="35">
        <v>0</v>
      </c>
      <c r="AB18" s="17"/>
      <c r="AC18" s="35">
        <v>0</v>
      </c>
      <c r="AD18" s="17"/>
      <c r="AE18" s="35">
        <f t="shared" si="9"/>
        <v>0</v>
      </c>
      <c r="AF18" s="40"/>
      <c r="AG18" s="35">
        <v>0</v>
      </c>
      <c r="AH18" s="40"/>
      <c r="AI18" s="35">
        <v>0</v>
      </c>
      <c r="AJ18" s="17"/>
      <c r="AK18" s="35">
        <v>0</v>
      </c>
      <c r="AL18" s="17"/>
      <c r="AM18" s="35">
        <v>0</v>
      </c>
      <c r="AN18" s="17"/>
      <c r="AO18" s="35">
        <f t="shared" si="10"/>
        <v>0</v>
      </c>
      <c r="AP18" s="40"/>
      <c r="AQ18" s="17">
        <v>0</v>
      </c>
      <c r="AR18" s="17"/>
      <c r="AS18" s="17">
        <v>0</v>
      </c>
      <c r="AT18" s="17"/>
      <c r="AU18" s="35">
        <f t="shared" si="11"/>
        <v>0</v>
      </c>
      <c r="AV18" s="96"/>
      <c r="AW18" s="81" t="s">
        <v>18</v>
      </c>
      <c r="AX18" s="96"/>
      <c r="AY18" s="35">
        <v>0</v>
      </c>
      <c r="AZ18" s="17"/>
      <c r="BA18" s="35">
        <v>0</v>
      </c>
      <c r="BB18" s="17"/>
      <c r="BC18" s="35">
        <v>0</v>
      </c>
      <c r="BD18" s="17"/>
      <c r="BE18" s="35">
        <v>0</v>
      </c>
      <c r="BF18" s="17"/>
      <c r="BG18" s="35">
        <f t="shared" si="12"/>
        <v>0</v>
      </c>
      <c r="BH18" s="79"/>
    </row>
    <row r="19" spans="1:60" ht="12.75" hidden="1">
      <c r="A19" s="77" t="s">
        <v>240</v>
      </c>
      <c r="B19" s="96"/>
      <c r="C19" s="35">
        <f t="shared" si="5"/>
        <v>0</v>
      </c>
      <c r="D19" s="35"/>
      <c r="E19" s="35">
        <v>0</v>
      </c>
      <c r="F19" s="35"/>
      <c r="G19" s="35">
        <v>0</v>
      </c>
      <c r="H19" s="35"/>
      <c r="I19" s="35">
        <f t="shared" si="6"/>
        <v>0</v>
      </c>
      <c r="J19" s="35"/>
      <c r="K19" s="35">
        <f t="shared" si="7"/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  <c r="S19" s="35">
        <v>0</v>
      </c>
      <c r="T19" s="35"/>
      <c r="U19" s="35">
        <f t="shared" si="8"/>
        <v>0</v>
      </c>
      <c r="V19" s="35"/>
      <c r="W19" s="81" t="s">
        <v>96</v>
      </c>
      <c r="X19" s="35"/>
      <c r="Y19" s="35">
        <v>0</v>
      </c>
      <c r="Z19" s="17"/>
      <c r="AA19" s="35">
        <v>0</v>
      </c>
      <c r="AB19" s="17"/>
      <c r="AC19" s="35">
        <v>0</v>
      </c>
      <c r="AD19" s="17"/>
      <c r="AE19" s="35">
        <f t="shared" si="9"/>
        <v>0</v>
      </c>
      <c r="AF19" s="40"/>
      <c r="AG19" s="35">
        <v>0</v>
      </c>
      <c r="AH19" s="40"/>
      <c r="AI19" s="35">
        <v>0</v>
      </c>
      <c r="AJ19" s="17"/>
      <c r="AK19" s="35">
        <v>0</v>
      </c>
      <c r="AL19" s="17"/>
      <c r="AM19" s="35">
        <v>0</v>
      </c>
      <c r="AN19" s="17"/>
      <c r="AO19" s="35">
        <f t="shared" si="10"/>
        <v>0</v>
      </c>
      <c r="AP19" s="40"/>
      <c r="AQ19" s="17">
        <v>0</v>
      </c>
      <c r="AR19" s="17"/>
      <c r="AS19" s="17">
        <v>0</v>
      </c>
      <c r="AT19" s="17"/>
      <c r="AU19" s="35">
        <f t="shared" si="11"/>
        <v>0</v>
      </c>
      <c r="AV19" s="17"/>
      <c r="AW19" s="81" t="s">
        <v>96</v>
      </c>
      <c r="AX19" s="17"/>
      <c r="AY19" s="35">
        <v>0</v>
      </c>
      <c r="AZ19" s="17"/>
      <c r="BA19" s="35">
        <v>0</v>
      </c>
      <c r="BB19" s="17"/>
      <c r="BC19" s="35">
        <v>0</v>
      </c>
      <c r="BD19" s="17"/>
      <c r="BE19" s="35">
        <v>0</v>
      </c>
      <c r="BF19" s="17"/>
      <c r="BG19" s="35">
        <f t="shared" si="12"/>
        <v>0</v>
      </c>
      <c r="BH19" s="79"/>
    </row>
    <row r="20" spans="1:60" ht="12.75" hidden="1">
      <c r="A20" s="77" t="s">
        <v>238</v>
      </c>
      <c r="B20" s="96"/>
      <c r="C20" s="35">
        <f t="shared" si="5"/>
        <v>0</v>
      </c>
      <c r="D20" s="35"/>
      <c r="E20" s="35">
        <v>0</v>
      </c>
      <c r="F20" s="35"/>
      <c r="G20" s="35">
        <v>0</v>
      </c>
      <c r="H20" s="35"/>
      <c r="I20" s="35">
        <f t="shared" si="6"/>
        <v>0</v>
      </c>
      <c r="J20" s="35"/>
      <c r="K20" s="35">
        <f t="shared" si="7"/>
        <v>0</v>
      </c>
      <c r="L20" s="35"/>
      <c r="M20" s="35"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5">
        <f t="shared" si="8"/>
        <v>0</v>
      </c>
      <c r="V20" s="35"/>
      <c r="W20" s="81" t="s">
        <v>238</v>
      </c>
      <c r="X20" s="35"/>
      <c r="Y20" s="35">
        <v>0</v>
      </c>
      <c r="Z20" s="17"/>
      <c r="AA20" s="35">
        <v>0</v>
      </c>
      <c r="AB20" s="17"/>
      <c r="AC20" s="35">
        <v>0</v>
      </c>
      <c r="AD20" s="17"/>
      <c r="AE20" s="35">
        <f t="shared" si="9"/>
        <v>0</v>
      </c>
      <c r="AF20" s="40"/>
      <c r="AG20" s="35">
        <v>0</v>
      </c>
      <c r="AH20" s="40"/>
      <c r="AI20" s="35">
        <v>0</v>
      </c>
      <c r="AJ20" s="17"/>
      <c r="AK20" s="35">
        <v>0</v>
      </c>
      <c r="AL20" s="17"/>
      <c r="AM20" s="35">
        <v>0</v>
      </c>
      <c r="AN20" s="17"/>
      <c r="AO20" s="35">
        <f t="shared" si="10"/>
        <v>0</v>
      </c>
      <c r="AP20" s="40"/>
      <c r="AQ20" s="17">
        <v>0</v>
      </c>
      <c r="AR20" s="17"/>
      <c r="AS20" s="17">
        <v>0</v>
      </c>
      <c r="AT20" s="17"/>
      <c r="AU20" s="35">
        <f t="shared" si="11"/>
        <v>0</v>
      </c>
      <c r="AV20" s="17"/>
      <c r="AW20" s="81" t="s">
        <v>238</v>
      </c>
      <c r="AX20" s="17"/>
      <c r="AY20" s="35">
        <v>0</v>
      </c>
      <c r="AZ20" s="17"/>
      <c r="BA20" s="35">
        <v>0</v>
      </c>
      <c r="BB20" s="17"/>
      <c r="BC20" s="35">
        <v>0</v>
      </c>
      <c r="BD20" s="17"/>
      <c r="BE20" s="35">
        <v>0</v>
      </c>
      <c r="BF20" s="17"/>
      <c r="BG20" s="35">
        <f t="shared" si="12"/>
        <v>0</v>
      </c>
      <c r="BH20" s="79"/>
    </row>
    <row r="21" spans="1:60" ht="12.75">
      <c r="A21" s="77" t="s">
        <v>20</v>
      </c>
      <c r="B21" s="96"/>
      <c r="C21" s="35">
        <f t="shared" si="5"/>
        <v>1577</v>
      </c>
      <c r="D21" s="35"/>
      <c r="E21" s="35">
        <v>0</v>
      </c>
      <c r="F21" s="35"/>
      <c r="G21" s="35">
        <v>1577</v>
      </c>
      <c r="H21" s="35"/>
      <c r="I21" s="35">
        <f t="shared" si="6"/>
        <v>0</v>
      </c>
      <c r="J21" s="35"/>
      <c r="K21" s="35">
        <f t="shared" si="7"/>
        <v>3915483</v>
      </c>
      <c r="L21" s="35"/>
      <c r="M21" s="35">
        <v>3915483</v>
      </c>
      <c r="N21" s="35"/>
      <c r="O21" s="35">
        <v>0</v>
      </c>
      <c r="P21" s="35"/>
      <c r="Q21" s="35">
        <v>0</v>
      </c>
      <c r="R21" s="35"/>
      <c r="S21" s="35">
        <v>-3913906</v>
      </c>
      <c r="T21" s="35"/>
      <c r="U21" s="35">
        <f t="shared" si="8"/>
        <v>-3913906</v>
      </c>
      <c r="V21" s="35"/>
      <c r="W21" s="81" t="s">
        <v>20</v>
      </c>
      <c r="X21" s="35"/>
      <c r="Y21" s="35">
        <v>0</v>
      </c>
      <c r="Z21" s="17"/>
      <c r="AA21" s="35">
        <v>4420</v>
      </c>
      <c r="AB21" s="17"/>
      <c r="AC21" s="35">
        <v>0</v>
      </c>
      <c r="AD21" s="17"/>
      <c r="AE21" s="35">
        <f t="shared" si="9"/>
        <v>-4420</v>
      </c>
      <c r="AF21" s="40"/>
      <c r="AG21" s="35">
        <v>0</v>
      </c>
      <c r="AH21" s="40"/>
      <c r="AI21" s="35">
        <v>5000</v>
      </c>
      <c r="AJ21" s="17"/>
      <c r="AK21" s="35">
        <v>0</v>
      </c>
      <c r="AL21" s="17"/>
      <c r="AM21" s="35">
        <v>0</v>
      </c>
      <c r="AN21" s="17"/>
      <c r="AO21" s="35">
        <f t="shared" si="10"/>
        <v>580</v>
      </c>
      <c r="AP21" s="40"/>
      <c r="AQ21" s="17">
        <v>0</v>
      </c>
      <c r="AR21" s="17"/>
      <c r="AS21" s="17">
        <v>0</v>
      </c>
      <c r="AT21" s="17"/>
      <c r="AU21" s="35">
        <f t="shared" si="11"/>
        <v>1577</v>
      </c>
      <c r="AV21" s="17"/>
      <c r="AW21" s="81" t="s">
        <v>20</v>
      </c>
      <c r="AX21" s="17"/>
      <c r="AY21" s="35">
        <v>0</v>
      </c>
      <c r="AZ21" s="17"/>
      <c r="BA21" s="35">
        <v>0</v>
      </c>
      <c r="BB21" s="17"/>
      <c r="BC21" s="35">
        <v>0</v>
      </c>
      <c r="BD21" s="17"/>
      <c r="BE21" s="35">
        <v>3915483</v>
      </c>
      <c r="BF21" s="17"/>
      <c r="BG21" s="35">
        <f t="shared" si="12"/>
        <v>3915483</v>
      </c>
      <c r="BH21" s="79"/>
    </row>
    <row r="22" spans="1:60" ht="12.75" hidden="1">
      <c r="A22" s="23" t="s">
        <v>173</v>
      </c>
      <c r="B22" s="96"/>
      <c r="C22" s="35">
        <f t="shared" si="5"/>
        <v>0</v>
      </c>
      <c r="D22" s="35"/>
      <c r="E22" s="35"/>
      <c r="F22" s="35"/>
      <c r="G22" s="35"/>
      <c r="H22" s="35"/>
      <c r="I22" s="35">
        <f t="shared" si="6"/>
        <v>0</v>
      </c>
      <c r="J22" s="35"/>
      <c r="K22" s="35">
        <f t="shared" si="7"/>
        <v>0</v>
      </c>
      <c r="L22" s="35"/>
      <c r="M22" s="35"/>
      <c r="N22" s="35"/>
      <c r="O22" s="35"/>
      <c r="P22" s="35"/>
      <c r="Q22" s="35"/>
      <c r="R22" s="35"/>
      <c r="S22" s="35"/>
      <c r="T22" s="35"/>
      <c r="U22" s="35">
        <f t="shared" si="8"/>
        <v>0</v>
      </c>
      <c r="V22" s="96"/>
      <c r="W22" s="17" t="s">
        <v>173</v>
      </c>
      <c r="X22" s="96"/>
      <c r="Y22" s="35"/>
      <c r="Z22" s="17"/>
      <c r="AA22" s="35"/>
      <c r="AB22" s="17"/>
      <c r="AC22" s="35"/>
      <c r="AD22" s="17"/>
      <c r="AE22" s="35">
        <f t="shared" si="9"/>
        <v>0</v>
      </c>
      <c r="AF22" s="40"/>
      <c r="AG22" s="35"/>
      <c r="AH22" s="40"/>
      <c r="AI22" s="35"/>
      <c r="AJ22" s="17"/>
      <c r="AK22" s="35"/>
      <c r="AL22" s="17"/>
      <c r="AM22" s="35"/>
      <c r="AN22" s="17"/>
      <c r="AO22" s="35">
        <f t="shared" si="10"/>
        <v>0</v>
      </c>
      <c r="AP22" s="40"/>
      <c r="AQ22" s="17">
        <v>0</v>
      </c>
      <c r="AR22" s="17"/>
      <c r="AS22" s="17">
        <v>0</v>
      </c>
      <c r="AT22" s="17"/>
      <c r="AU22" s="35">
        <f t="shared" si="11"/>
        <v>0</v>
      </c>
      <c r="AV22" s="96"/>
      <c r="AW22" s="17" t="s">
        <v>173</v>
      </c>
      <c r="AX22" s="96"/>
      <c r="AY22" s="35"/>
      <c r="AZ22" s="17"/>
      <c r="BA22" s="35"/>
      <c r="BB22" s="17"/>
      <c r="BC22" s="35"/>
      <c r="BD22" s="17"/>
      <c r="BE22" s="35"/>
      <c r="BF22" s="17"/>
      <c r="BG22" s="35">
        <f t="shared" si="12"/>
        <v>0</v>
      </c>
      <c r="BH22" s="79"/>
    </row>
    <row r="23" spans="1:60" ht="12.75" hidden="1">
      <c r="A23" s="77" t="s">
        <v>21</v>
      </c>
      <c r="B23" s="96"/>
      <c r="C23" s="35">
        <f t="shared" si="5"/>
        <v>0</v>
      </c>
      <c r="D23" s="35"/>
      <c r="E23" s="35">
        <v>0</v>
      </c>
      <c r="F23" s="35"/>
      <c r="G23" s="35">
        <v>0</v>
      </c>
      <c r="H23" s="35"/>
      <c r="I23" s="35">
        <f t="shared" si="6"/>
        <v>0</v>
      </c>
      <c r="J23" s="35"/>
      <c r="K23" s="35">
        <f t="shared" si="7"/>
        <v>0</v>
      </c>
      <c r="L23" s="35"/>
      <c r="M23" s="35">
        <v>0</v>
      </c>
      <c r="N23" s="35"/>
      <c r="O23" s="35">
        <v>0</v>
      </c>
      <c r="P23" s="35"/>
      <c r="Q23" s="35">
        <v>0</v>
      </c>
      <c r="R23" s="35"/>
      <c r="S23" s="35">
        <v>0</v>
      </c>
      <c r="T23" s="35"/>
      <c r="U23" s="35">
        <f t="shared" si="8"/>
        <v>0</v>
      </c>
      <c r="V23" s="96"/>
      <c r="W23" s="81" t="s">
        <v>21</v>
      </c>
      <c r="X23" s="96"/>
      <c r="Y23" s="35">
        <v>0</v>
      </c>
      <c r="Z23" s="17"/>
      <c r="AA23" s="35">
        <v>0</v>
      </c>
      <c r="AB23" s="17"/>
      <c r="AC23" s="35">
        <v>0</v>
      </c>
      <c r="AD23" s="17"/>
      <c r="AE23" s="35">
        <f t="shared" si="9"/>
        <v>0</v>
      </c>
      <c r="AF23" s="40"/>
      <c r="AG23" s="35">
        <v>0</v>
      </c>
      <c r="AH23" s="40"/>
      <c r="AI23" s="35">
        <v>0</v>
      </c>
      <c r="AJ23" s="17"/>
      <c r="AK23" s="35">
        <v>0</v>
      </c>
      <c r="AL23" s="17"/>
      <c r="AM23" s="35">
        <v>0</v>
      </c>
      <c r="AN23" s="17"/>
      <c r="AO23" s="35">
        <f t="shared" si="10"/>
        <v>0</v>
      </c>
      <c r="AP23" s="40"/>
      <c r="AQ23" s="17">
        <v>0</v>
      </c>
      <c r="AR23" s="17"/>
      <c r="AS23" s="17">
        <v>0</v>
      </c>
      <c r="AT23" s="17"/>
      <c r="AU23" s="35">
        <f t="shared" si="11"/>
        <v>0</v>
      </c>
      <c r="AV23" s="96"/>
      <c r="AW23" s="81" t="s">
        <v>21</v>
      </c>
      <c r="AX23" s="96"/>
      <c r="AY23" s="35">
        <v>0</v>
      </c>
      <c r="AZ23" s="17"/>
      <c r="BA23" s="35">
        <v>0</v>
      </c>
      <c r="BB23" s="17"/>
      <c r="BC23" s="35">
        <v>0</v>
      </c>
      <c r="BD23" s="17"/>
      <c r="BE23" s="35">
        <v>0</v>
      </c>
      <c r="BF23" s="17"/>
      <c r="BG23" s="35">
        <f t="shared" si="12"/>
        <v>0</v>
      </c>
      <c r="BH23" s="79"/>
    </row>
    <row r="24" spans="1:60" ht="12.75" hidden="1">
      <c r="A24" s="77" t="s">
        <v>242</v>
      </c>
      <c r="B24" s="96"/>
      <c r="C24" s="35">
        <f t="shared" si="5"/>
        <v>0</v>
      </c>
      <c r="D24" s="35"/>
      <c r="E24" s="35">
        <v>0</v>
      </c>
      <c r="F24" s="35"/>
      <c r="G24" s="35">
        <v>0</v>
      </c>
      <c r="H24" s="35"/>
      <c r="I24" s="35">
        <f t="shared" si="6"/>
        <v>0</v>
      </c>
      <c r="J24" s="35"/>
      <c r="K24" s="35">
        <f t="shared" si="7"/>
        <v>0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f t="shared" si="8"/>
        <v>0</v>
      </c>
      <c r="V24" s="96"/>
      <c r="W24" s="81" t="s">
        <v>242</v>
      </c>
      <c r="X24" s="96"/>
      <c r="Y24" s="35">
        <v>0</v>
      </c>
      <c r="Z24" s="17"/>
      <c r="AA24" s="35">
        <v>0</v>
      </c>
      <c r="AB24" s="17"/>
      <c r="AC24" s="35">
        <v>0</v>
      </c>
      <c r="AD24" s="17"/>
      <c r="AE24" s="35">
        <f t="shared" si="9"/>
        <v>0</v>
      </c>
      <c r="AF24" s="40"/>
      <c r="AG24" s="35">
        <v>0</v>
      </c>
      <c r="AH24" s="40"/>
      <c r="AI24" s="35">
        <v>0</v>
      </c>
      <c r="AJ24" s="17"/>
      <c r="AK24" s="35">
        <v>0</v>
      </c>
      <c r="AL24" s="17"/>
      <c r="AM24" s="35">
        <v>0</v>
      </c>
      <c r="AN24" s="17"/>
      <c r="AO24" s="35">
        <f t="shared" si="10"/>
        <v>0</v>
      </c>
      <c r="AP24" s="40"/>
      <c r="AQ24" s="17">
        <v>0</v>
      </c>
      <c r="AR24" s="17"/>
      <c r="AS24" s="17">
        <v>0</v>
      </c>
      <c r="AT24" s="17"/>
      <c r="AU24" s="35">
        <f t="shared" si="11"/>
        <v>0</v>
      </c>
      <c r="AV24" s="96"/>
      <c r="AW24" s="81" t="s">
        <v>242</v>
      </c>
      <c r="AX24" s="96"/>
      <c r="AY24" s="35">
        <v>0</v>
      </c>
      <c r="AZ24" s="17"/>
      <c r="BA24" s="35">
        <v>0</v>
      </c>
      <c r="BB24" s="17"/>
      <c r="BC24" s="35">
        <v>0</v>
      </c>
      <c r="BD24" s="17"/>
      <c r="BE24" s="35">
        <v>0</v>
      </c>
      <c r="BF24" s="17"/>
      <c r="BG24" s="35">
        <f t="shared" si="12"/>
        <v>0</v>
      </c>
      <c r="BH24" s="79"/>
    </row>
    <row r="25" spans="1:60" ht="12.75" hidden="1">
      <c r="A25" s="77" t="s">
        <v>22</v>
      </c>
      <c r="B25" s="96"/>
      <c r="C25" s="35">
        <f t="shared" si="5"/>
        <v>0</v>
      </c>
      <c r="D25" s="35"/>
      <c r="E25" s="35">
        <v>0</v>
      </c>
      <c r="F25" s="35"/>
      <c r="G25" s="35">
        <v>0</v>
      </c>
      <c r="H25" s="35"/>
      <c r="I25" s="35">
        <f t="shared" si="6"/>
        <v>0</v>
      </c>
      <c r="J25" s="35"/>
      <c r="K25" s="35">
        <f t="shared" si="7"/>
        <v>0</v>
      </c>
      <c r="L25" s="35"/>
      <c r="M25" s="35"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5">
        <f t="shared" si="8"/>
        <v>0</v>
      </c>
      <c r="V25" s="35"/>
      <c r="W25" s="81" t="s">
        <v>22</v>
      </c>
      <c r="X25" s="35"/>
      <c r="Y25" s="35">
        <v>0</v>
      </c>
      <c r="Z25" s="17"/>
      <c r="AA25" s="35">
        <v>0</v>
      </c>
      <c r="AB25" s="17"/>
      <c r="AC25" s="35">
        <v>0</v>
      </c>
      <c r="AD25" s="17"/>
      <c r="AE25" s="35">
        <f t="shared" si="9"/>
        <v>0</v>
      </c>
      <c r="AF25" s="40"/>
      <c r="AG25" s="35">
        <v>0</v>
      </c>
      <c r="AH25" s="40"/>
      <c r="AI25" s="35">
        <v>0</v>
      </c>
      <c r="AJ25" s="17"/>
      <c r="AK25" s="35">
        <v>0</v>
      </c>
      <c r="AL25" s="17"/>
      <c r="AM25" s="35">
        <v>0</v>
      </c>
      <c r="AN25" s="17"/>
      <c r="AO25" s="35">
        <f t="shared" si="10"/>
        <v>0</v>
      </c>
      <c r="AP25" s="40"/>
      <c r="AQ25" s="17">
        <v>0</v>
      </c>
      <c r="AR25" s="17"/>
      <c r="AS25" s="17">
        <v>0</v>
      </c>
      <c r="AT25" s="17"/>
      <c r="AU25" s="35">
        <f t="shared" si="11"/>
        <v>0</v>
      </c>
      <c r="AV25" s="17"/>
      <c r="AW25" s="81" t="s">
        <v>22</v>
      </c>
      <c r="AX25" s="17"/>
      <c r="AY25" s="35">
        <v>0</v>
      </c>
      <c r="AZ25" s="17"/>
      <c r="BA25" s="35">
        <v>0</v>
      </c>
      <c r="BB25" s="17"/>
      <c r="BC25" s="35">
        <v>0</v>
      </c>
      <c r="BD25" s="17"/>
      <c r="BE25" s="35">
        <v>0</v>
      </c>
      <c r="BF25" s="17"/>
      <c r="BG25" s="35">
        <f t="shared" si="12"/>
        <v>0</v>
      </c>
      <c r="BH25" s="79"/>
    </row>
    <row r="26" spans="1:60" ht="12.75" hidden="1">
      <c r="A26" s="77" t="s">
        <v>23</v>
      </c>
      <c r="B26" s="96"/>
      <c r="C26" s="35">
        <f t="shared" si="5"/>
        <v>0</v>
      </c>
      <c r="D26" s="35"/>
      <c r="E26" s="35"/>
      <c r="F26" s="35"/>
      <c r="G26" s="35"/>
      <c r="H26" s="35"/>
      <c r="I26" s="35">
        <f t="shared" si="6"/>
        <v>0</v>
      </c>
      <c r="J26" s="35"/>
      <c r="K26" s="35">
        <f t="shared" si="7"/>
        <v>0</v>
      </c>
      <c r="L26" s="35"/>
      <c r="M26" s="35"/>
      <c r="N26" s="35"/>
      <c r="O26" s="35"/>
      <c r="P26" s="35"/>
      <c r="Q26" s="35"/>
      <c r="R26" s="35"/>
      <c r="S26" s="35"/>
      <c r="T26" s="35"/>
      <c r="U26" s="35">
        <f t="shared" si="8"/>
        <v>0</v>
      </c>
      <c r="V26" s="35"/>
      <c r="W26" s="81" t="s">
        <v>23</v>
      </c>
      <c r="X26" s="35"/>
      <c r="Y26" s="35"/>
      <c r="Z26" s="17"/>
      <c r="AA26" s="35"/>
      <c r="AB26" s="17"/>
      <c r="AC26" s="35"/>
      <c r="AD26" s="17"/>
      <c r="AE26" s="35">
        <f t="shared" si="9"/>
        <v>0</v>
      </c>
      <c r="AF26" s="40"/>
      <c r="AG26" s="35"/>
      <c r="AH26" s="40"/>
      <c r="AI26" s="35"/>
      <c r="AJ26" s="17"/>
      <c r="AK26" s="35"/>
      <c r="AL26" s="17"/>
      <c r="AM26" s="35"/>
      <c r="AN26" s="17"/>
      <c r="AO26" s="35">
        <f t="shared" si="10"/>
        <v>0</v>
      </c>
      <c r="AP26" s="40"/>
      <c r="AQ26" s="17">
        <v>0</v>
      </c>
      <c r="AR26" s="17"/>
      <c r="AS26" s="17">
        <v>0</v>
      </c>
      <c r="AT26" s="17"/>
      <c r="AU26" s="35">
        <f t="shared" si="11"/>
        <v>0</v>
      </c>
      <c r="AV26" s="17"/>
      <c r="AW26" s="81" t="s">
        <v>23</v>
      </c>
      <c r="AX26" s="17"/>
      <c r="AY26" s="35"/>
      <c r="AZ26" s="17"/>
      <c r="BA26" s="35"/>
      <c r="BB26" s="17"/>
      <c r="BC26" s="35"/>
      <c r="BD26" s="17"/>
      <c r="BE26" s="35"/>
      <c r="BF26" s="17"/>
      <c r="BG26" s="35">
        <f t="shared" si="12"/>
        <v>0</v>
      </c>
      <c r="BH26" s="79"/>
    </row>
    <row r="27" spans="1:60" ht="12.75" hidden="1">
      <c r="A27" s="77" t="s">
        <v>24</v>
      </c>
      <c r="B27" s="96"/>
      <c r="C27" s="35">
        <f t="shared" si="5"/>
        <v>0</v>
      </c>
      <c r="D27" s="35"/>
      <c r="E27" s="35">
        <v>0</v>
      </c>
      <c r="F27" s="35"/>
      <c r="G27" s="35">
        <v>0</v>
      </c>
      <c r="H27" s="35"/>
      <c r="I27" s="35">
        <f t="shared" si="6"/>
        <v>0</v>
      </c>
      <c r="J27" s="35"/>
      <c r="K27" s="35">
        <f t="shared" si="7"/>
        <v>0</v>
      </c>
      <c r="L27" s="35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5">
        <f t="shared" si="8"/>
        <v>0</v>
      </c>
      <c r="V27" s="35"/>
      <c r="W27" s="81" t="s">
        <v>24</v>
      </c>
      <c r="X27" s="35"/>
      <c r="Y27" s="35">
        <v>0</v>
      </c>
      <c r="Z27" s="17"/>
      <c r="AA27" s="35">
        <v>0</v>
      </c>
      <c r="AB27" s="17"/>
      <c r="AC27" s="35">
        <v>0</v>
      </c>
      <c r="AD27" s="17"/>
      <c r="AE27" s="35">
        <f t="shared" si="9"/>
        <v>0</v>
      </c>
      <c r="AF27" s="40"/>
      <c r="AG27" s="35">
        <v>0</v>
      </c>
      <c r="AH27" s="40"/>
      <c r="AI27" s="35">
        <v>0</v>
      </c>
      <c r="AJ27" s="17"/>
      <c r="AK27" s="35">
        <v>0</v>
      </c>
      <c r="AL27" s="17"/>
      <c r="AM27" s="35">
        <v>0</v>
      </c>
      <c r="AN27" s="17"/>
      <c r="AO27" s="35">
        <f t="shared" si="10"/>
        <v>0</v>
      </c>
      <c r="AP27" s="40"/>
      <c r="AQ27" s="17">
        <v>0</v>
      </c>
      <c r="AR27" s="17"/>
      <c r="AS27" s="17">
        <v>0</v>
      </c>
      <c r="AT27" s="17"/>
      <c r="AU27" s="35">
        <f t="shared" si="11"/>
        <v>0</v>
      </c>
      <c r="AV27" s="17"/>
      <c r="AW27" s="81" t="s">
        <v>24</v>
      </c>
      <c r="AX27" s="17"/>
      <c r="AY27" s="35">
        <v>0</v>
      </c>
      <c r="AZ27" s="17"/>
      <c r="BA27" s="35">
        <v>0</v>
      </c>
      <c r="BB27" s="17"/>
      <c r="BC27" s="35">
        <v>0</v>
      </c>
      <c r="BD27" s="17"/>
      <c r="BE27" s="35">
        <v>0</v>
      </c>
      <c r="BF27" s="17"/>
      <c r="BG27" s="35">
        <f t="shared" si="12"/>
        <v>0</v>
      </c>
      <c r="BH27" s="79"/>
    </row>
    <row r="28" spans="1:60" ht="12.75">
      <c r="A28" s="77" t="s">
        <v>243</v>
      </c>
      <c r="B28" s="96"/>
      <c r="C28" s="35">
        <f t="shared" si="5"/>
        <v>402735</v>
      </c>
      <c r="D28" s="35"/>
      <c r="E28" s="35">
        <v>1981077</v>
      </c>
      <c r="F28" s="35"/>
      <c r="G28" s="35">
        <v>2383812</v>
      </c>
      <c r="H28" s="35"/>
      <c r="I28" s="35">
        <f t="shared" si="6"/>
        <v>547009</v>
      </c>
      <c r="J28" s="35"/>
      <c r="K28" s="35">
        <f t="shared" si="7"/>
        <v>3536673</v>
      </c>
      <c r="L28" s="35"/>
      <c r="M28" s="35">
        <v>4083682</v>
      </c>
      <c r="N28" s="35"/>
      <c r="O28" s="35">
        <v>-913209</v>
      </c>
      <c r="P28" s="35"/>
      <c r="Q28" s="35">
        <v>0</v>
      </c>
      <c r="R28" s="35"/>
      <c r="S28" s="35">
        <v>-786661</v>
      </c>
      <c r="T28" s="35"/>
      <c r="U28" s="35">
        <f t="shared" si="8"/>
        <v>-1699870</v>
      </c>
      <c r="V28" s="35"/>
      <c r="W28" s="81" t="s">
        <v>179</v>
      </c>
      <c r="X28" s="35"/>
      <c r="Y28" s="35">
        <v>5530383</v>
      </c>
      <c r="Z28" s="17"/>
      <c r="AA28" s="35">
        <f>4649640+1924</f>
        <v>4651564</v>
      </c>
      <c r="AB28" s="17"/>
      <c r="AC28" s="35">
        <v>127029</v>
      </c>
      <c r="AD28" s="17"/>
      <c r="AE28" s="35">
        <f t="shared" si="9"/>
        <v>751790</v>
      </c>
      <c r="AF28" s="40"/>
      <c r="AG28" s="35">
        <v>-220674</v>
      </c>
      <c r="AH28" s="40"/>
      <c r="AI28" s="35">
        <v>1497</v>
      </c>
      <c r="AJ28" s="17"/>
      <c r="AK28" s="35">
        <v>0</v>
      </c>
      <c r="AL28" s="17"/>
      <c r="AM28" s="35">
        <v>0</v>
      </c>
      <c r="AN28" s="17"/>
      <c r="AO28" s="35">
        <f t="shared" si="10"/>
        <v>532613</v>
      </c>
      <c r="AP28" s="40"/>
      <c r="AQ28" s="17">
        <v>0</v>
      </c>
      <c r="AR28" s="17"/>
      <c r="AS28" s="17">
        <v>0</v>
      </c>
      <c r="AT28" s="17"/>
      <c r="AU28" s="35">
        <f t="shared" si="11"/>
        <v>-144274</v>
      </c>
      <c r="AV28" s="17"/>
      <c r="AW28" s="81" t="s">
        <v>179</v>
      </c>
      <c r="AX28" s="17"/>
      <c r="AY28" s="35">
        <v>3536673</v>
      </c>
      <c r="AZ28" s="17"/>
      <c r="BA28" s="35">
        <v>0</v>
      </c>
      <c r="BB28" s="17"/>
      <c r="BC28" s="35">
        <v>0</v>
      </c>
      <c r="BD28" s="17"/>
      <c r="BE28" s="35">
        <v>0</v>
      </c>
      <c r="BF28" s="17"/>
      <c r="BG28" s="35">
        <f t="shared" si="12"/>
        <v>3536673</v>
      </c>
      <c r="BH28" s="79"/>
    </row>
    <row r="29" spans="1:60" ht="12.75" hidden="1">
      <c r="A29" s="77" t="s">
        <v>25</v>
      </c>
      <c r="B29" s="96"/>
      <c r="C29" s="35">
        <f aca="true" t="shared" si="13" ref="C29:C92">G29-E29</f>
        <v>0</v>
      </c>
      <c r="D29" s="35"/>
      <c r="E29" s="35">
        <v>0</v>
      </c>
      <c r="F29" s="35"/>
      <c r="G29" s="35">
        <v>0</v>
      </c>
      <c r="H29" s="35"/>
      <c r="I29" s="35">
        <f t="shared" si="0"/>
        <v>0</v>
      </c>
      <c r="J29" s="35"/>
      <c r="K29" s="35">
        <f aca="true" t="shared" si="14" ref="K29:K53">SUM(BG29)</f>
        <v>0</v>
      </c>
      <c r="L29" s="35"/>
      <c r="M29" s="35">
        <v>0</v>
      </c>
      <c r="N29" s="35"/>
      <c r="O29" s="35">
        <v>0</v>
      </c>
      <c r="P29" s="35"/>
      <c r="Q29" s="35">
        <v>0</v>
      </c>
      <c r="R29" s="35"/>
      <c r="S29" s="35">
        <v>0</v>
      </c>
      <c r="T29" s="35"/>
      <c r="U29" s="35">
        <f t="shared" si="1"/>
        <v>0</v>
      </c>
      <c r="V29" s="35"/>
      <c r="W29" s="81" t="s">
        <v>25</v>
      </c>
      <c r="X29" s="35"/>
      <c r="Y29" s="35">
        <v>0</v>
      </c>
      <c r="Z29" s="17"/>
      <c r="AA29" s="35">
        <v>0</v>
      </c>
      <c r="AB29" s="17"/>
      <c r="AC29" s="35">
        <v>0</v>
      </c>
      <c r="AD29" s="17"/>
      <c r="AE29" s="35">
        <f t="shared" si="2"/>
        <v>0</v>
      </c>
      <c r="AF29" s="40"/>
      <c r="AG29" s="35">
        <v>0</v>
      </c>
      <c r="AH29" s="40"/>
      <c r="AI29" s="35">
        <v>0</v>
      </c>
      <c r="AJ29" s="17"/>
      <c r="AK29" s="35">
        <v>0</v>
      </c>
      <c r="AL29" s="17"/>
      <c r="AM29" s="35">
        <v>0</v>
      </c>
      <c r="AN29" s="17"/>
      <c r="AO29" s="35">
        <f t="shared" si="3"/>
        <v>0</v>
      </c>
      <c r="AP29" s="40"/>
      <c r="AQ29" s="17">
        <v>0</v>
      </c>
      <c r="AR29" s="17"/>
      <c r="AS29" s="17">
        <v>0</v>
      </c>
      <c r="AT29" s="17"/>
      <c r="AU29" s="35">
        <f t="shared" si="4"/>
        <v>0</v>
      </c>
      <c r="AV29" s="17"/>
      <c r="AW29" s="81" t="s">
        <v>25</v>
      </c>
      <c r="AX29" s="17"/>
      <c r="AY29" s="35">
        <v>0</v>
      </c>
      <c r="AZ29" s="17"/>
      <c r="BA29" s="35">
        <v>0</v>
      </c>
      <c r="BB29" s="17"/>
      <c r="BC29" s="35">
        <v>0</v>
      </c>
      <c r="BD29" s="17"/>
      <c r="BE29" s="35">
        <v>0</v>
      </c>
      <c r="BF29" s="17"/>
      <c r="BG29" s="35">
        <f aca="true" t="shared" si="15" ref="BG29:BG92">SUM(AY29:BE29)</f>
        <v>0</v>
      </c>
      <c r="BH29" s="79"/>
    </row>
    <row r="30" spans="1:60" ht="12.75" hidden="1">
      <c r="A30" s="77" t="s">
        <v>26</v>
      </c>
      <c r="B30" s="96"/>
      <c r="C30" s="35">
        <f t="shared" si="13"/>
        <v>0</v>
      </c>
      <c r="D30" s="35"/>
      <c r="E30" s="35">
        <v>0</v>
      </c>
      <c r="F30" s="35"/>
      <c r="G30" s="35">
        <v>0</v>
      </c>
      <c r="H30" s="35"/>
      <c r="I30" s="35">
        <f t="shared" si="0"/>
        <v>0</v>
      </c>
      <c r="J30" s="35"/>
      <c r="K30" s="35">
        <f t="shared" si="14"/>
        <v>0</v>
      </c>
      <c r="L30" s="35"/>
      <c r="M30" s="35"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5">
        <f t="shared" si="1"/>
        <v>0</v>
      </c>
      <c r="V30" s="96"/>
      <c r="W30" s="81" t="s">
        <v>26</v>
      </c>
      <c r="X30" s="96"/>
      <c r="Y30" s="35">
        <v>0</v>
      </c>
      <c r="Z30" s="17"/>
      <c r="AA30" s="35">
        <v>0</v>
      </c>
      <c r="AB30" s="17"/>
      <c r="AC30" s="35">
        <v>0</v>
      </c>
      <c r="AD30" s="17"/>
      <c r="AE30" s="35">
        <f t="shared" si="2"/>
        <v>0</v>
      </c>
      <c r="AF30" s="40"/>
      <c r="AG30" s="35">
        <v>0</v>
      </c>
      <c r="AH30" s="40"/>
      <c r="AI30" s="35">
        <v>0</v>
      </c>
      <c r="AJ30" s="17"/>
      <c r="AK30" s="35">
        <v>0</v>
      </c>
      <c r="AL30" s="17"/>
      <c r="AM30" s="35">
        <v>0</v>
      </c>
      <c r="AN30" s="17"/>
      <c r="AO30" s="35">
        <f t="shared" si="3"/>
        <v>0</v>
      </c>
      <c r="AP30" s="40"/>
      <c r="AQ30" s="17">
        <v>0</v>
      </c>
      <c r="AR30" s="17"/>
      <c r="AS30" s="17">
        <v>0</v>
      </c>
      <c r="AT30" s="17"/>
      <c r="AU30" s="35">
        <f t="shared" si="4"/>
        <v>0</v>
      </c>
      <c r="AV30" s="96"/>
      <c r="AW30" s="81" t="s">
        <v>26</v>
      </c>
      <c r="AX30" s="96"/>
      <c r="AY30" s="35">
        <v>0</v>
      </c>
      <c r="AZ30" s="17"/>
      <c r="BA30" s="35">
        <v>0</v>
      </c>
      <c r="BB30" s="17"/>
      <c r="BC30" s="35">
        <v>0</v>
      </c>
      <c r="BD30" s="17"/>
      <c r="BE30" s="35">
        <v>0</v>
      </c>
      <c r="BF30" s="17"/>
      <c r="BG30" s="35">
        <f t="shared" si="15"/>
        <v>0</v>
      </c>
      <c r="BH30" s="79"/>
    </row>
    <row r="31" spans="1:60" ht="12.75">
      <c r="A31" s="77" t="s">
        <v>27</v>
      </c>
      <c r="B31" s="96"/>
      <c r="C31" s="35">
        <f t="shared" si="13"/>
        <v>9392923</v>
      </c>
      <c r="D31" s="35"/>
      <c r="E31" s="35">
        <v>9070080</v>
      </c>
      <c r="F31" s="35"/>
      <c r="G31" s="35">
        <v>18463003</v>
      </c>
      <c r="H31" s="35"/>
      <c r="I31" s="35">
        <f t="shared" si="0"/>
        <v>359206</v>
      </c>
      <c r="J31" s="35"/>
      <c r="K31" s="35">
        <f t="shared" si="14"/>
        <v>3404998</v>
      </c>
      <c r="L31" s="35"/>
      <c r="M31" s="35">
        <v>3764204</v>
      </c>
      <c r="N31" s="35"/>
      <c r="O31" s="35">
        <v>4267105</v>
      </c>
      <c r="P31" s="35"/>
      <c r="Q31" s="35">
        <v>1452449</v>
      </c>
      <c r="R31" s="35"/>
      <c r="S31" s="35">
        <v>8979245</v>
      </c>
      <c r="T31" s="35"/>
      <c r="U31" s="35">
        <f t="shared" si="1"/>
        <v>14698799</v>
      </c>
      <c r="V31" s="35"/>
      <c r="W31" s="81" t="s">
        <v>27</v>
      </c>
      <c r="X31" s="35"/>
      <c r="Y31" s="35">
        <v>4006962</v>
      </c>
      <c r="Z31" s="17"/>
      <c r="AA31" s="35">
        <f>885091+528124+59638+671503+190441</f>
        <v>2334797</v>
      </c>
      <c r="AB31" s="17"/>
      <c r="AC31" s="35">
        <v>223272</v>
      </c>
      <c r="AD31" s="17"/>
      <c r="AE31" s="35">
        <f t="shared" si="2"/>
        <v>1448893</v>
      </c>
      <c r="AF31" s="40"/>
      <c r="AG31" s="35">
        <v>249840</v>
      </c>
      <c r="AH31" s="40"/>
      <c r="AI31" s="35">
        <v>0</v>
      </c>
      <c r="AJ31" s="17"/>
      <c r="AK31" s="35">
        <v>0</v>
      </c>
      <c r="AL31" s="17"/>
      <c r="AM31" s="35">
        <v>0</v>
      </c>
      <c r="AN31" s="17"/>
      <c r="AO31" s="35">
        <f t="shared" si="3"/>
        <v>1698733</v>
      </c>
      <c r="AP31" s="40"/>
      <c r="AQ31" s="17">
        <v>0</v>
      </c>
      <c r="AR31" s="17"/>
      <c r="AS31" s="17">
        <v>0</v>
      </c>
      <c r="AT31" s="17"/>
      <c r="AU31" s="35">
        <f t="shared" si="4"/>
        <v>9033717</v>
      </c>
      <c r="AV31" s="17"/>
      <c r="AW31" s="81" t="s">
        <v>27</v>
      </c>
      <c r="AX31" s="17"/>
      <c r="AY31" s="35">
        <v>0</v>
      </c>
      <c r="AZ31" s="17"/>
      <c r="BA31" s="35">
        <v>0</v>
      </c>
      <c r="BB31" s="17"/>
      <c r="BC31" s="35">
        <v>0</v>
      </c>
      <c r="BD31" s="17"/>
      <c r="BE31" s="35">
        <f>3350526+54472</f>
        <v>3404998</v>
      </c>
      <c r="BF31" s="17"/>
      <c r="BG31" s="35">
        <f t="shared" si="15"/>
        <v>3404998</v>
      </c>
      <c r="BH31" s="79"/>
    </row>
    <row r="32" spans="1:60" ht="12.75" customHeight="1" hidden="1">
      <c r="A32" s="77" t="s">
        <v>28</v>
      </c>
      <c r="B32" s="96"/>
      <c r="C32" s="35">
        <f t="shared" si="13"/>
        <v>0</v>
      </c>
      <c r="D32" s="35"/>
      <c r="E32" s="35">
        <v>0</v>
      </c>
      <c r="F32" s="35"/>
      <c r="G32" s="35">
        <v>0</v>
      </c>
      <c r="H32" s="35"/>
      <c r="I32" s="35">
        <f t="shared" si="0"/>
        <v>0</v>
      </c>
      <c r="J32" s="35"/>
      <c r="K32" s="35">
        <f t="shared" si="14"/>
        <v>0</v>
      </c>
      <c r="L32" s="35"/>
      <c r="M32" s="35">
        <v>0</v>
      </c>
      <c r="N32" s="35"/>
      <c r="O32" s="35">
        <v>0</v>
      </c>
      <c r="P32" s="35"/>
      <c r="Q32" s="35">
        <v>0</v>
      </c>
      <c r="R32" s="35"/>
      <c r="S32" s="35">
        <v>0</v>
      </c>
      <c r="T32" s="35"/>
      <c r="U32" s="35">
        <f t="shared" si="1"/>
        <v>0</v>
      </c>
      <c r="V32" s="96"/>
      <c r="W32" s="81" t="s">
        <v>28</v>
      </c>
      <c r="X32" s="96"/>
      <c r="Y32" s="35">
        <v>0</v>
      </c>
      <c r="Z32" s="17"/>
      <c r="AA32" s="35">
        <v>0</v>
      </c>
      <c r="AB32" s="17"/>
      <c r="AC32" s="35">
        <v>0</v>
      </c>
      <c r="AD32" s="17"/>
      <c r="AE32" s="35">
        <f t="shared" si="2"/>
        <v>0</v>
      </c>
      <c r="AF32" s="40"/>
      <c r="AG32" s="35">
        <v>0</v>
      </c>
      <c r="AH32" s="40"/>
      <c r="AI32" s="35">
        <v>0</v>
      </c>
      <c r="AJ32" s="17"/>
      <c r="AK32" s="35">
        <v>0</v>
      </c>
      <c r="AL32" s="17"/>
      <c r="AM32" s="35">
        <v>0</v>
      </c>
      <c r="AN32" s="17"/>
      <c r="AO32" s="35">
        <f t="shared" si="3"/>
        <v>0</v>
      </c>
      <c r="AP32" s="40"/>
      <c r="AQ32" s="17">
        <v>0</v>
      </c>
      <c r="AR32" s="17"/>
      <c r="AS32" s="17">
        <v>0</v>
      </c>
      <c r="AT32" s="17"/>
      <c r="AU32" s="35">
        <f t="shared" si="4"/>
        <v>0</v>
      </c>
      <c r="AV32" s="96"/>
      <c r="AW32" s="81" t="s">
        <v>28</v>
      </c>
      <c r="AX32" s="96"/>
      <c r="AY32" s="35">
        <v>0</v>
      </c>
      <c r="AZ32" s="17"/>
      <c r="BA32" s="35">
        <v>0</v>
      </c>
      <c r="BB32" s="17"/>
      <c r="BC32" s="35">
        <v>0</v>
      </c>
      <c r="BD32" s="17"/>
      <c r="BE32" s="35">
        <v>0</v>
      </c>
      <c r="BF32" s="17"/>
      <c r="BG32" s="35">
        <f t="shared" si="15"/>
        <v>0</v>
      </c>
      <c r="BH32" s="79"/>
    </row>
    <row r="33" spans="1:60" ht="12.75">
      <c r="A33" s="77" t="s">
        <v>29</v>
      </c>
      <c r="B33" s="96"/>
      <c r="C33" s="35">
        <f t="shared" si="13"/>
        <v>7550532</v>
      </c>
      <c r="D33" s="35"/>
      <c r="E33" s="35">
        <v>6559488</v>
      </c>
      <c r="F33" s="35"/>
      <c r="G33" s="35">
        <v>14110020</v>
      </c>
      <c r="H33" s="35"/>
      <c r="I33" s="35">
        <f t="shared" si="0"/>
        <v>1695711</v>
      </c>
      <c r="J33" s="35"/>
      <c r="K33" s="35">
        <f t="shared" si="14"/>
        <v>32747444</v>
      </c>
      <c r="L33" s="35"/>
      <c r="M33" s="35">
        <v>34443155</v>
      </c>
      <c r="N33" s="35"/>
      <c r="O33" s="35">
        <v>-14225826</v>
      </c>
      <c r="P33" s="35"/>
      <c r="Q33" s="35">
        <v>0</v>
      </c>
      <c r="R33" s="35"/>
      <c r="S33" s="35">
        <v>-6107309</v>
      </c>
      <c r="T33" s="35"/>
      <c r="U33" s="35">
        <f t="shared" si="1"/>
        <v>-20333135</v>
      </c>
      <c r="V33" s="35"/>
      <c r="W33" s="81" t="s">
        <v>29</v>
      </c>
      <c r="X33" s="35"/>
      <c r="Y33" s="35">
        <v>4262473</v>
      </c>
      <c r="Z33" s="17"/>
      <c r="AA33" s="35">
        <f>2593673-271583</f>
        <v>2322090</v>
      </c>
      <c r="AB33" s="17"/>
      <c r="AC33" s="35">
        <v>271583</v>
      </c>
      <c r="AD33" s="17"/>
      <c r="AE33" s="35">
        <f t="shared" si="2"/>
        <v>1668800</v>
      </c>
      <c r="AF33" s="40"/>
      <c r="AG33" s="35">
        <v>-1007763</v>
      </c>
      <c r="AH33" s="40"/>
      <c r="AI33" s="35">
        <v>0</v>
      </c>
      <c r="AJ33" s="17"/>
      <c r="AK33" s="35">
        <v>40000</v>
      </c>
      <c r="AL33" s="17"/>
      <c r="AM33" s="35">
        <v>0</v>
      </c>
      <c r="AN33" s="17"/>
      <c r="AO33" s="35">
        <f t="shared" si="3"/>
        <v>621037</v>
      </c>
      <c r="AP33" s="40"/>
      <c r="AQ33" s="17">
        <v>0</v>
      </c>
      <c r="AR33" s="17"/>
      <c r="AS33" s="17">
        <v>0</v>
      </c>
      <c r="AT33" s="17"/>
      <c r="AU33" s="35">
        <f t="shared" si="4"/>
        <v>5854821</v>
      </c>
      <c r="AV33" s="17"/>
      <c r="AW33" s="81" t="s">
        <v>29</v>
      </c>
      <c r="AX33" s="17"/>
      <c r="AY33" s="35">
        <v>19938148</v>
      </c>
      <c r="AZ33" s="17"/>
      <c r="BA33" s="35">
        <v>0</v>
      </c>
      <c r="BB33" s="17"/>
      <c r="BC33" s="35">
        <v>0</v>
      </c>
      <c r="BD33" s="17"/>
      <c r="BE33" s="35">
        <f>44085+159265+12605946</f>
        <v>12809296</v>
      </c>
      <c r="BF33" s="17"/>
      <c r="BG33" s="35">
        <f t="shared" si="15"/>
        <v>32747444</v>
      </c>
      <c r="BH33" s="79"/>
    </row>
    <row r="34" spans="1:60" ht="12.75" customHeight="1" hidden="1">
      <c r="A34" s="77" t="s">
        <v>30</v>
      </c>
      <c r="B34" s="96"/>
      <c r="C34" s="35">
        <f t="shared" si="13"/>
        <v>0</v>
      </c>
      <c r="D34" s="35"/>
      <c r="E34" s="35">
        <v>0</v>
      </c>
      <c r="F34" s="35"/>
      <c r="G34" s="35">
        <v>0</v>
      </c>
      <c r="H34" s="35"/>
      <c r="I34" s="35">
        <f t="shared" si="0"/>
        <v>0</v>
      </c>
      <c r="J34" s="35"/>
      <c r="K34" s="35">
        <f t="shared" si="14"/>
        <v>0</v>
      </c>
      <c r="L34" s="35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f t="shared" si="1"/>
        <v>0</v>
      </c>
      <c r="V34" s="96"/>
      <c r="W34" s="81" t="s">
        <v>30</v>
      </c>
      <c r="X34" s="96"/>
      <c r="Y34" s="35">
        <v>0</v>
      </c>
      <c r="Z34" s="17"/>
      <c r="AA34" s="35">
        <v>0</v>
      </c>
      <c r="AB34" s="17"/>
      <c r="AC34" s="35">
        <v>0</v>
      </c>
      <c r="AD34" s="17"/>
      <c r="AE34" s="35">
        <f t="shared" si="2"/>
        <v>0</v>
      </c>
      <c r="AF34" s="40"/>
      <c r="AG34" s="35">
        <v>0</v>
      </c>
      <c r="AH34" s="40"/>
      <c r="AI34" s="35">
        <v>0</v>
      </c>
      <c r="AJ34" s="17"/>
      <c r="AK34" s="35">
        <v>0</v>
      </c>
      <c r="AL34" s="17"/>
      <c r="AM34" s="35">
        <v>0</v>
      </c>
      <c r="AN34" s="17"/>
      <c r="AO34" s="35">
        <f t="shared" si="3"/>
        <v>0</v>
      </c>
      <c r="AP34" s="40"/>
      <c r="AQ34" s="17">
        <v>0</v>
      </c>
      <c r="AR34" s="17"/>
      <c r="AS34" s="17">
        <v>0</v>
      </c>
      <c r="AT34" s="17"/>
      <c r="AU34" s="35">
        <f t="shared" si="4"/>
        <v>0</v>
      </c>
      <c r="AV34" s="96"/>
      <c r="AW34" s="81" t="s">
        <v>30</v>
      </c>
      <c r="AX34" s="96"/>
      <c r="AY34" s="35">
        <v>0</v>
      </c>
      <c r="AZ34" s="17"/>
      <c r="BA34" s="35">
        <v>0</v>
      </c>
      <c r="BB34" s="17"/>
      <c r="BC34" s="35">
        <v>0</v>
      </c>
      <c r="BD34" s="17"/>
      <c r="BE34" s="35">
        <v>0</v>
      </c>
      <c r="BF34" s="17"/>
      <c r="BG34" s="35">
        <f t="shared" si="15"/>
        <v>0</v>
      </c>
      <c r="BH34" s="79"/>
    </row>
    <row r="35" spans="1:60" ht="12.75" customHeight="1" hidden="1">
      <c r="A35" s="77" t="s">
        <v>31</v>
      </c>
      <c r="B35" s="96"/>
      <c r="C35" s="35">
        <f t="shared" si="13"/>
        <v>0</v>
      </c>
      <c r="D35" s="35"/>
      <c r="E35" s="35"/>
      <c r="F35" s="35"/>
      <c r="G35" s="35"/>
      <c r="H35" s="35"/>
      <c r="I35" s="35">
        <f t="shared" si="0"/>
        <v>0</v>
      </c>
      <c r="J35" s="35"/>
      <c r="K35" s="35">
        <f t="shared" si="14"/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5">
        <f t="shared" si="1"/>
        <v>0</v>
      </c>
      <c r="V35" s="96"/>
      <c r="W35" s="81" t="s">
        <v>31</v>
      </c>
      <c r="X35" s="96"/>
      <c r="Y35" s="35"/>
      <c r="Z35" s="17"/>
      <c r="AA35" s="35"/>
      <c r="AB35" s="17"/>
      <c r="AC35" s="35"/>
      <c r="AD35" s="17"/>
      <c r="AE35" s="35">
        <f t="shared" si="2"/>
        <v>0</v>
      </c>
      <c r="AF35" s="40"/>
      <c r="AG35" s="35"/>
      <c r="AH35" s="40"/>
      <c r="AI35" s="35"/>
      <c r="AJ35" s="17"/>
      <c r="AK35" s="35"/>
      <c r="AL35" s="17"/>
      <c r="AM35" s="35"/>
      <c r="AN35" s="17"/>
      <c r="AO35" s="35">
        <f t="shared" si="3"/>
        <v>0</v>
      </c>
      <c r="AP35" s="40"/>
      <c r="AQ35" s="17">
        <v>0</v>
      </c>
      <c r="AR35" s="17"/>
      <c r="AS35" s="17">
        <v>0</v>
      </c>
      <c r="AT35" s="17"/>
      <c r="AU35" s="35">
        <f t="shared" si="4"/>
        <v>0</v>
      </c>
      <c r="AV35" s="96"/>
      <c r="AW35" s="81" t="s">
        <v>31</v>
      </c>
      <c r="AX35" s="96"/>
      <c r="AY35" s="35"/>
      <c r="AZ35" s="17"/>
      <c r="BA35" s="35"/>
      <c r="BB35" s="17"/>
      <c r="BC35" s="35"/>
      <c r="BD35" s="17"/>
      <c r="BE35" s="35"/>
      <c r="BF35" s="17"/>
      <c r="BG35" s="35">
        <f t="shared" si="15"/>
        <v>0</v>
      </c>
      <c r="BH35" s="79"/>
    </row>
    <row r="36" spans="1:60" ht="12.75" customHeight="1" hidden="1">
      <c r="A36" s="77" t="s">
        <v>32</v>
      </c>
      <c r="B36" s="96"/>
      <c r="C36" s="35">
        <f t="shared" si="13"/>
        <v>0</v>
      </c>
      <c r="D36" s="35"/>
      <c r="E36" s="35">
        <v>0</v>
      </c>
      <c r="F36" s="35"/>
      <c r="G36" s="35">
        <v>0</v>
      </c>
      <c r="H36" s="35"/>
      <c r="I36" s="35">
        <f t="shared" si="0"/>
        <v>0</v>
      </c>
      <c r="J36" s="35"/>
      <c r="K36" s="35">
        <f t="shared" si="14"/>
        <v>0</v>
      </c>
      <c r="L36" s="35"/>
      <c r="M36" s="35">
        <v>0</v>
      </c>
      <c r="N36" s="35"/>
      <c r="O36" s="35">
        <v>0</v>
      </c>
      <c r="P36" s="35"/>
      <c r="Q36" s="35">
        <v>0</v>
      </c>
      <c r="R36" s="35"/>
      <c r="S36" s="35">
        <v>0</v>
      </c>
      <c r="T36" s="35"/>
      <c r="U36" s="35">
        <f t="shared" si="1"/>
        <v>0</v>
      </c>
      <c r="V36" s="96"/>
      <c r="W36" s="81" t="s">
        <v>32</v>
      </c>
      <c r="X36" s="96"/>
      <c r="Y36" s="35">
        <v>0</v>
      </c>
      <c r="Z36" s="17"/>
      <c r="AA36" s="35">
        <v>0</v>
      </c>
      <c r="AB36" s="17"/>
      <c r="AC36" s="35">
        <v>0</v>
      </c>
      <c r="AD36" s="17"/>
      <c r="AE36" s="35">
        <f t="shared" si="2"/>
        <v>0</v>
      </c>
      <c r="AF36" s="40"/>
      <c r="AG36" s="35">
        <v>0</v>
      </c>
      <c r="AH36" s="40"/>
      <c r="AI36" s="35">
        <v>0</v>
      </c>
      <c r="AJ36" s="17"/>
      <c r="AK36" s="35">
        <v>0</v>
      </c>
      <c r="AL36" s="17"/>
      <c r="AM36" s="35">
        <v>0</v>
      </c>
      <c r="AN36" s="17"/>
      <c r="AO36" s="35">
        <f t="shared" si="3"/>
        <v>0</v>
      </c>
      <c r="AP36" s="40"/>
      <c r="AQ36" s="17">
        <v>0</v>
      </c>
      <c r="AR36" s="17"/>
      <c r="AS36" s="17">
        <v>0</v>
      </c>
      <c r="AT36" s="17"/>
      <c r="AU36" s="35">
        <f t="shared" si="4"/>
        <v>0</v>
      </c>
      <c r="AV36" s="96"/>
      <c r="AW36" s="81" t="s">
        <v>32</v>
      </c>
      <c r="AX36" s="96"/>
      <c r="AY36" s="35">
        <v>0</v>
      </c>
      <c r="AZ36" s="17"/>
      <c r="BA36" s="35">
        <v>0</v>
      </c>
      <c r="BB36" s="17"/>
      <c r="BC36" s="35">
        <v>0</v>
      </c>
      <c r="BD36" s="17"/>
      <c r="BE36" s="35">
        <v>0</v>
      </c>
      <c r="BF36" s="17"/>
      <c r="BG36" s="35">
        <f t="shared" si="15"/>
        <v>0</v>
      </c>
      <c r="BH36" s="79"/>
    </row>
    <row r="37" spans="1:60" ht="12.75" customHeight="1" hidden="1">
      <c r="A37" s="77" t="s">
        <v>33</v>
      </c>
      <c r="B37" s="96"/>
      <c r="C37" s="35">
        <f t="shared" si="13"/>
        <v>0</v>
      </c>
      <c r="D37" s="35"/>
      <c r="E37" s="35">
        <v>0</v>
      </c>
      <c r="F37" s="35"/>
      <c r="G37" s="35">
        <v>0</v>
      </c>
      <c r="H37" s="35"/>
      <c r="I37" s="35">
        <f t="shared" si="0"/>
        <v>0</v>
      </c>
      <c r="J37" s="35"/>
      <c r="K37" s="35">
        <f t="shared" si="14"/>
        <v>0</v>
      </c>
      <c r="L37" s="35"/>
      <c r="M37" s="35">
        <v>0</v>
      </c>
      <c r="N37" s="35"/>
      <c r="O37" s="35">
        <v>0</v>
      </c>
      <c r="P37" s="35"/>
      <c r="Q37" s="35">
        <v>0</v>
      </c>
      <c r="R37" s="35"/>
      <c r="S37" s="35">
        <v>0</v>
      </c>
      <c r="T37" s="35"/>
      <c r="U37" s="35">
        <f t="shared" si="1"/>
        <v>0</v>
      </c>
      <c r="V37" s="35"/>
      <c r="W37" s="81" t="s">
        <v>33</v>
      </c>
      <c r="X37" s="35"/>
      <c r="Y37" s="35">
        <v>0</v>
      </c>
      <c r="Z37" s="17"/>
      <c r="AA37" s="35">
        <v>0</v>
      </c>
      <c r="AB37" s="17"/>
      <c r="AC37" s="35">
        <v>0</v>
      </c>
      <c r="AD37" s="17"/>
      <c r="AE37" s="35">
        <f t="shared" si="2"/>
        <v>0</v>
      </c>
      <c r="AF37" s="40"/>
      <c r="AG37" s="35">
        <v>0</v>
      </c>
      <c r="AH37" s="40"/>
      <c r="AI37" s="35">
        <v>0</v>
      </c>
      <c r="AJ37" s="17"/>
      <c r="AK37" s="35">
        <v>0</v>
      </c>
      <c r="AL37" s="17"/>
      <c r="AM37" s="35">
        <v>0</v>
      </c>
      <c r="AN37" s="17"/>
      <c r="AO37" s="35">
        <f t="shared" si="3"/>
        <v>0</v>
      </c>
      <c r="AP37" s="40"/>
      <c r="AQ37" s="17">
        <v>0</v>
      </c>
      <c r="AR37" s="17"/>
      <c r="AS37" s="17">
        <v>0</v>
      </c>
      <c r="AT37" s="17"/>
      <c r="AU37" s="35">
        <f t="shared" si="4"/>
        <v>0</v>
      </c>
      <c r="AV37" s="17"/>
      <c r="AW37" s="81" t="s">
        <v>33</v>
      </c>
      <c r="AX37" s="17"/>
      <c r="AY37" s="35">
        <v>0</v>
      </c>
      <c r="AZ37" s="17"/>
      <c r="BA37" s="35">
        <v>0</v>
      </c>
      <c r="BB37" s="17"/>
      <c r="BC37" s="35">
        <v>0</v>
      </c>
      <c r="BD37" s="17"/>
      <c r="BE37" s="35">
        <v>0</v>
      </c>
      <c r="BF37" s="17"/>
      <c r="BG37" s="35">
        <f t="shared" si="15"/>
        <v>0</v>
      </c>
      <c r="BH37" s="79"/>
    </row>
    <row r="38" spans="1:60" ht="12.75" customHeight="1" hidden="1">
      <c r="A38" s="77" t="s">
        <v>34</v>
      </c>
      <c r="B38" s="96"/>
      <c r="C38" s="35">
        <f t="shared" si="13"/>
        <v>0</v>
      </c>
      <c r="D38" s="35"/>
      <c r="E38" s="35">
        <v>0</v>
      </c>
      <c r="F38" s="35"/>
      <c r="G38" s="35">
        <v>0</v>
      </c>
      <c r="H38" s="35"/>
      <c r="I38" s="35">
        <f t="shared" si="0"/>
        <v>0</v>
      </c>
      <c r="J38" s="35"/>
      <c r="K38" s="35">
        <f t="shared" si="14"/>
        <v>0</v>
      </c>
      <c r="L38" s="35"/>
      <c r="M38" s="35"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5">
        <f t="shared" si="1"/>
        <v>0</v>
      </c>
      <c r="V38" s="35"/>
      <c r="W38" s="81" t="s">
        <v>34</v>
      </c>
      <c r="X38" s="35"/>
      <c r="Y38" s="35">
        <v>0</v>
      </c>
      <c r="Z38" s="17"/>
      <c r="AA38" s="35">
        <v>0</v>
      </c>
      <c r="AB38" s="17"/>
      <c r="AC38" s="35">
        <v>0</v>
      </c>
      <c r="AD38" s="17"/>
      <c r="AE38" s="35">
        <f t="shared" si="2"/>
        <v>0</v>
      </c>
      <c r="AF38" s="40"/>
      <c r="AG38" s="35">
        <v>0</v>
      </c>
      <c r="AH38" s="40"/>
      <c r="AI38" s="35">
        <v>0</v>
      </c>
      <c r="AJ38" s="17"/>
      <c r="AK38" s="35">
        <v>0</v>
      </c>
      <c r="AL38" s="17"/>
      <c r="AM38" s="35">
        <v>0</v>
      </c>
      <c r="AN38" s="17"/>
      <c r="AO38" s="35">
        <f t="shared" si="3"/>
        <v>0</v>
      </c>
      <c r="AP38" s="40"/>
      <c r="AQ38" s="17">
        <v>0</v>
      </c>
      <c r="AR38" s="17"/>
      <c r="AS38" s="17">
        <v>0</v>
      </c>
      <c r="AT38" s="17"/>
      <c r="AU38" s="35">
        <f t="shared" si="4"/>
        <v>0</v>
      </c>
      <c r="AV38" s="17"/>
      <c r="AW38" s="81" t="s">
        <v>34</v>
      </c>
      <c r="AX38" s="17"/>
      <c r="AY38" s="35">
        <v>0</v>
      </c>
      <c r="AZ38" s="17"/>
      <c r="BA38" s="35">
        <v>0</v>
      </c>
      <c r="BB38" s="17"/>
      <c r="BC38" s="35">
        <v>0</v>
      </c>
      <c r="BD38" s="17"/>
      <c r="BE38" s="35">
        <v>0</v>
      </c>
      <c r="BF38" s="17"/>
      <c r="BG38" s="35">
        <f t="shared" si="15"/>
        <v>0</v>
      </c>
      <c r="BH38" s="79"/>
    </row>
    <row r="39" spans="1:60" ht="12.75" customHeight="1" hidden="1">
      <c r="A39" s="77" t="s">
        <v>35</v>
      </c>
      <c r="B39" s="96"/>
      <c r="C39" s="35">
        <f t="shared" si="13"/>
        <v>0</v>
      </c>
      <c r="D39" s="35"/>
      <c r="E39" s="35">
        <v>0</v>
      </c>
      <c r="F39" s="35"/>
      <c r="G39" s="35">
        <v>0</v>
      </c>
      <c r="H39" s="35"/>
      <c r="I39" s="35">
        <f t="shared" si="0"/>
        <v>0</v>
      </c>
      <c r="J39" s="35"/>
      <c r="K39" s="35">
        <f t="shared" si="14"/>
        <v>0</v>
      </c>
      <c r="L39" s="35"/>
      <c r="M39" s="35">
        <v>0</v>
      </c>
      <c r="N39" s="35"/>
      <c r="O39" s="35">
        <v>0</v>
      </c>
      <c r="P39" s="35"/>
      <c r="Q39" s="35">
        <v>0</v>
      </c>
      <c r="R39" s="35"/>
      <c r="S39" s="35">
        <v>0</v>
      </c>
      <c r="T39" s="35"/>
      <c r="U39" s="35">
        <f t="shared" si="1"/>
        <v>0</v>
      </c>
      <c r="V39" s="96"/>
      <c r="W39" s="81" t="s">
        <v>35</v>
      </c>
      <c r="X39" s="96"/>
      <c r="Y39" s="35">
        <v>0</v>
      </c>
      <c r="Z39" s="17"/>
      <c r="AA39" s="35">
        <v>0</v>
      </c>
      <c r="AB39" s="17"/>
      <c r="AC39" s="35">
        <v>0</v>
      </c>
      <c r="AD39" s="17"/>
      <c r="AE39" s="35">
        <f t="shared" si="2"/>
        <v>0</v>
      </c>
      <c r="AF39" s="40"/>
      <c r="AG39" s="35">
        <v>0</v>
      </c>
      <c r="AH39" s="40"/>
      <c r="AI39" s="35">
        <v>0</v>
      </c>
      <c r="AJ39" s="17"/>
      <c r="AK39" s="35">
        <v>0</v>
      </c>
      <c r="AL39" s="17"/>
      <c r="AM39" s="35">
        <v>0</v>
      </c>
      <c r="AN39" s="17"/>
      <c r="AO39" s="35">
        <f t="shared" si="3"/>
        <v>0</v>
      </c>
      <c r="AP39" s="40"/>
      <c r="AQ39" s="17">
        <v>0</v>
      </c>
      <c r="AR39" s="17"/>
      <c r="AS39" s="17">
        <v>0</v>
      </c>
      <c r="AT39" s="17"/>
      <c r="AU39" s="35">
        <f t="shared" si="4"/>
        <v>0</v>
      </c>
      <c r="AV39" s="96"/>
      <c r="AW39" s="81" t="s">
        <v>35</v>
      </c>
      <c r="AX39" s="96"/>
      <c r="AY39" s="35">
        <v>0</v>
      </c>
      <c r="AZ39" s="17"/>
      <c r="BA39" s="35">
        <v>0</v>
      </c>
      <c r="BB39" s="17"/>
      <c r="BC39" s="35">
        <v>0</v>
      </c>
      <c r="BD39" s="17"/>
      <c r="BE39" s="35">
        <v>0</v>
      </c>
      <c r="BF39" s="17"/>
      <c r="BG39" s="35">
        <f t="shared" si="15"/>
        <v>0</v>
      </c>
      <c r="BH39" s="79"/>
    </row>
    <row r="40" spans="1:60" ht="12.75" customHeight="1" hidden="1">
      <c r="A40" s="77" t="s">
        <v>226</v>
      </c>
      <c r="B40" s="96"/>
      <c r="C40" s="35">
        <f t="shared" si="13"/>
        <v>0</v>
      </c>
      <c r="D40" s="35"/>
      <c r="E40" s="35">
        <v>0</v>
      </c>
      <c r="F40" s="35"/>
      <c r="G40" s="35">
        <v>0</v>
      </c>
      <c r="H40" s="35"/>
      <c r="I40" s="35">
        <f t="shared" si="0"/>
        <v>0</v>
      </c>
      <c r="J40" s="35"/>
      <c r="K40" s="35">
        <f t="shared" si="14"/>
        <v>0</v>
      </c>
      <c r="L40" s="35"/>
      <c r="M40" s="35">
        <v>0</v>
      </c>
      <c r="N40" s="35"/>
      <c r="O40" s="35">
        <v>0</v>
      </c>
      <c r="P40" s="35"/>
      <c r="Q40" s="35">
        <v>0</v>
      </c>
      <c r="R40" s="35"/>
      <c r="S40" s="35">
        <v>0</v>
      </c>
      <c r="T40" s="35"/>
      <c r="U40" s="35">
        <f t="shared" si="1"/>
        <v>0</v>
      </c>
      <c r="V40" s="96"/>
      <c r="W40" s="81" t="s">
        <v>226</v>
      </c>
      <c r="X40" s="96"/>
      <c r="Y40" s="35">
        <v>0</v>
      </c>
      <c r="Z40" s="17"/>
      <c r="AA40" s="35">
        <v>0</v>
      </c>
      <c r="AB40" s="17"/>
      <c r="AC40" s="35">
        <v>0</v>
      </c>
      <c r="AD40" s="17"/>
      <c r="AE40" s="35">
        <f t="shared" si="2"/>
        <v>0</v>
      </c>
      <c r="AF40" s="40"/>
      <c r="AG40" s="35">
        <v>0</v>
      </c>
      <c r="AH40" s="40"/>
      <c r="AI40" s="35">
        <v>0</v>
      </c>
      <c r="AJ40" s="17"/>
      <c r="AK40" s="35">
        <v>0</v>
      </c>
      <c r="AL40" s="17"/>
      <c r="AM40" s="35">
        <v>0</v>
      </c>
      <c r="AN40" s="17"/>
      <c r="AO40" s="35">
        <f t="shared" si="3"/>
        <v>0</v>
      </c>
      <c r="AP40" s="40"/>
      <c r="AQ40" s="17">
        <v>0</v>
      </c>
      <c r="AR40" s="17"/>
      <c r="AS40" s="17">
        <v>0</v>
      </c>
      <c r="AT40" s="17"/>
      <c r="AU40" s="35">
        <f t="shared" si="4"/>
        <v>0</v>
      </c>
      <c r="AV40" s="96"/>
      <c r="AW40" s="81" t="s">
        <v>226</v>
      </c>
      <c r="AX40" s="96"/>
      <c r="AY40" s="35">
        <v>0</v>
      </c>
      <c r="AZ40" s="17"/>
      <c r="BA40" s="35">
        <v>0</v>
      </c>
      <c r="BB40" s="17"/>
      <c r="BC40" s="35">
        <v>0</v>
      </c>
      <c r="BD40" s="17"/>
      <c r="BE40" s="35">
        <v>0</v>
      </c>
      <c r="BF40" s="17"/>
      <c r="BG40" s="35">
        <f t="shared" si="15"/>
        <v>0</v>
      </c>
      <c r="BH40" s="79"/>
    </row>
    <row r="41" spans="1:60" ht="12.75" customHeight="1" hidden="1">
      <c r="A41" s="77" t="s">
        <v>244</v>
      </c>
      <c r="B41" s="96"/>
      <c r="C41" s="35">
        <f t="shared" si="13"/>
        <v>0</v>
      </c>
      <c r="D41" s="35"/>
      <c r="E41" s="35"/>
      <c r="F41" s="35"/>
      <c r="G41" s="35"/>
      <c r="H41" s="35"/>
      <c r="I41" s="35">
        <f t="shared" si="0"/>
        <v>0</v>
      </c>
      <c r="J41" s="35"/>
      <c r="K41" s="35">
        <f t="shared" si="14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>
        <f t="shared" si="1"/>
        <v>0</v>
      </c>
      <c r="V41" s="96"/>
      <c r="W41" s="81" t="s">
        <v>36</v>
      </c>
      <c r="X41" s="96"/>
      <c r="Y41" s="35"/>
      <c r="Z41" s="17"/>
      <c r="AA41" s="35"/>
      <c r="AB41" s="17"/>
      <c r="AC41" s="35"/>
      <c r="AD41" s="17"/>
      <c r="AE41" s="35">
        <f t="shared" si="2"/>
        <v>0</v>
      </c>
      <c r="AF41" s="40"/>
      <c r="AG41" s="35"/>
      <c r="AH41" s="40"/>
      <c r="AI41" s="35"/>
      <c r="AJ41" s="17"/>
      <c r="AK41" s="35"/>
      <c r="AL41" s="17"/>
      <c r="AM41" s="35"/>
      <c r="AN41" s="17"/>
      <c r="AO41" s="35">
        <f t="shared" si="3"/>
        <v>0</v>
      </c>
      <c r="AP41" s="40"/>
      <c r="AQ41" s="17">
        <v>0</v>
      </c>
      <c r="AR41" s="17"/>
      <c r="AS41" s="17">
        <v>0</v>
      </c>
      <c r="AT41" s="17"/>
      <c r="AU41" s="35">
        <f t="shared" si="4"/>
        <v>0</v>
      </c>
      <c r="AV41" s="96"/>
      <c r="AW41" s="81" t="s">
        <v>36</v>
      </c>
      <c r="AX41" s="96"/>
      <c r="AY41" s="35"/>
      <c r="AZ41" s="17"/>
      <c r="BA41" s="35"/>
      <c r="BB41" s="17"/>
      <c r="BC41" s="35"/>
      <c r="BD41" s="17"/>
      <c r="BE41" s="35"/>
      <c r="BF41" s="17"/>
      <c r="BG41" s="35">
        <f t="shared" si="15"/>
        <v>0</v>
      </c>
      <c r="BH41" s="79"/>
    </row>
    <row r="42" spans="1:60" ht="12.75" customHeight="1" hidden="1">
      <c r="A42" s="77" t="s">
        <v>245</v>
      </c>
      <c r="B42" s="96"/>
      <c r="C42" s="35">
        <f t="shared" si="13"/>
        <v>0</v>
      </c>
      <c r="D42" s="35"/>
      <c r="E42" s="35">
        <v>0</v>
      </c>
      <c r="F42" s="35"/>
      <c r="G42" s="35">
        <v>0</v>
      </c>
      <c r="H42" s="35"/>
      <c r="I42" s="35">
        <f t="shared" si="0"/>
        <v>0</v>
      </c>
      <c r="J42" s="35"/>
      <c r="K42" s="35">
        <f t="shared" si="14"/>
        <v>0</v>
      </c>
      <c r="L42" s="35"/>
      <c r="M42" s="35">
        <v>0</v>
      </c>
      <c r="N42" s="35"/>
      <c r="O42" s="35">
        <v>0</v>
      </c>
      <c r="P42" s="35"/>
      <c r="Q42" s="35">
        <v>0</v>
      </c>
      <c r="R42" s="35"/>
      <c r="S42" s="35">
        <v>0</v>
      </c>
      <c r="T42" s="35"/>
      <c r="U42" s="35">
        <f t="shared" si="1"/>
        <v>0</v>
      </c>
      <c r="V42" s="96"/>
      <c r="W42" s="81" t="s">
        <v>37</v>
      </c>
      <c r="X42" s="96"/>
      <c r="Y42" s="35">
        <v>0</v>
      </c>
      <c r="Z42" s="17"/>
      <c r="AA42" s="35">
        <v>0</v>
      </c>
      <c r="AB42" s="17"/>
      <c r="AC42" s="35">
        <v>0</v>
      </c>
      <c r="AD42" s="17"/>
      <c r="AE42" s="35">
        <f t="shared" si="2"/>
        <v>0</v>
      </c>
      <c r="AF42" s="40"/>
      <c r="AG42" s="35">
        <v>0</v>
      </c>
      <c r="AH42" s="40"/>
      <c r="AI42" s="35">
        <v>0</v>
      </c>
      <c r="AJ42" s="17"/>
      <c r="AK42" s="35">
        <v>0</v>
      </c>
      <c r="AL42" s="17"/>
      <c r="AM42" s="35">
        <v>0</v>
      </c>
      <c r="AN42" s="17"/>
      <c r="AO42" s="35">
        <f t="shared" si="3"/>
        <v>0</v>
      </c>
      <c r="AP42" s="40"/>
      <c r="AQ42" s="17">
        <v>0</v>
      </c>
      <c r="AR42" s="17"/>
      <c r="AS42" s="17">
        <v>0</v>
      </c>
      <c r="AT42" s="17"/>
      <c r="AU42" s="35">
        <f t="shared" si="4"/>
        <v>0</v>
      </c>
      <c r="AV42" s="96"/>
      <c r="AW42" s="81" t="s">
        <v>37</v>
      </c>
      <c r="AX42" s="96"/>
      <c r="AY42" s="35">
        <v>0</v>
      </c>
      <c r="AZ42" s="17"/>
      <c r="BA42" s="35">
        <v>0</v>
      </c>
      <c r="BB42" s="17"/>
      <c r="BC42" s="35">
        <v>0</v>
      </c>
      <c r="BD42" s="17"/>
      <c r="BE42" s="35">
        <v>0</v>
      </c>
      <c r="BF42" s="17"/>
      <c r="BG42" s="35">
        <f t="shared" si="15"/>
        <v>0</v>
      </c>
      <c r="BH42" s="79"/>
    </row>
    <row r="43" spans="1:60" ht="12.75">
      <c r="A43" s="77" t="s">
        <v>38</v>
      </c>
      <c r="B43" s="96"/>
      <c r="C43" s="35">
        <f t="shared" si="13"/>
        <v>2244382</v>
      </c>
      <c r="D43" s="35"/>
      <c r="E43" s="35">
        <v>7701513</v>
      </c>
      <c r="F43" s="35"/>
      <c r="G43" s="35">
        <v>9945895</v>
      </c>
      <c r="H43" s="35"/>
      <c r="I43" s="35">
        <f t="shared" si="0"/>
        <v>738822</v>
      </c>
      <c r="J43" s="35"/>
      <c r="K43" s="35">
        <f t="shared" si="14"/>
        <v>2665333</v>
      </c>
      <c r="L43" s="35"/>
      <c r="M43" s="35">
        <v>3404155</v>
      </c>
      <c r="N43" s="35"/>
      <c r="O43" s="35">
        <v>2475359</v>
      </c>
      <c r="P43" s="35"/>
      <c r="Q43" s="35">
        <v>0</v>
      </c>
      <c r="R43" s="35"/>
      <c r="S43" s="35">
        <v>4066381</v>
      </c>
      <c r="T43" s="35"/>
      <c r="U43" s="35">
        <f t="shared" si="1"/>
        <v>6541740</v>
      </c>
      <c r="V43" s="35"/>
      <c r="W43" s="81" t="s">
        <v>38</v>
      </c>
      <c r="X43" s="35"/>
      <c r="Y43" s="35">
        <v>4296419</v>
      </c>
      <c r="Z43" s="17"/>
      <c r="AA43" s="35">
        <f>4294335-216849</f>
        <v>4077486</v>
      </c>
      <c r="AB43" s="17"/>
      <c r="AC43" s="35">
        <v>216849</v>
      </c>
      <c r="AD43" s="17"/>
      <c r="AE43" s="35">
        <f t="shared" si="2"/>
        <v>2084</v>
      </c>
      <c r="AF43" s="40"/>
      <c r="AG43" s="35">
        <v>271576</v>
      </c>
      <c r="AH43" s="40"/>
      <c r="AI43" s="35">
        <v>0</v>
      </c>
      <c r="AJ43" s="17"/>
      <c r="AK43" s="35">
        <v>0</v>
      </c>
      <c r="AL43" s="17"/>
      <c r="AM43" s="35">
        <v>0</v>
      </c>
      <c r="AN43" s="17"/>
      <c r="AO43" s="35">
        <f t="shared" si="3"/>
        <v>273660</v>
      </c>
      <c r="AP43" s="40"/>
      <c r="AQ43" s="17">
        <v>0</v>
      </c>
      <c r="AR43" s="17"/>
      <c r="AS43" s="17">
        <v>0</v>
      </c>
      <c r="AT43" s="17"/>
      <c r="AU43" s="35">
        <f t="shared" si="4"/>
        <v>1505560</v>
      </c>
      <c r="AV43" s="17"/>
      <c r="AW43" s="81" t="s">
        <v>38</v>
      </c>
      <c r="AX43" s="17"/>
      <c r="AY43" s="35">
        <v>45000</v>
      </c>
      <c r="AZ43" s="17"/>
      <c r="BA43" s="35">
        <v>0</v>
      </c>
      <c r="BB43" s="17"/>
      <c r="BC43" s="35">
        <v>0</v>
      </c>
      <c r="BD43" s="17"/>
      <c r="BE43" s="35">
        <f>152717+2467616</f>
        <v>2620333</v>
      </c>
      <c r="BF43" s="17"/>
      <c r="BG43" s="35">
        <f t="shared" si="15"/>
        <v>2665333</v>
      </c>
      <c r="BH43" s="79"/>
    </row>
    <row r="44" spans="1:60" ht="12.75" customHeight="1" hidden="1">
      <c r="A44" s="77" t="s">
        <v>168</v>
      </c>
      <c r="B44" s="96"/>
      <c r="C44" s="35">
        <f t="shared" si="13"/>
        <v>0</v>
      </c>
      <c r="D44" s="35"/>
      <c r="E44" s="35">
        <v>0</v>
      </c>
      <c r="F44" s="35"/>
      <c r="G44" s="35">
        <v>0</v>
      </c>
      <c r="H44" s="35"/>
      <c r="I44" s="35">
        <f t="shared" si="0"/>
        <v>0</v>
      </c>
      <c r="J44" s="35"/>
      <c r="K44" s="35">
        <f t="shared" si="14"/>
        <v>0</v>
      </c>
      <c r="L44" s="35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5">
        <f t="shared" si="1"/>
        <v>0</v>
      </c>
      <c r="V44" s="96"/>
      <c r="W44" s="81" t="s">
        <v>168</v>
      </c>
      <c r="X44" s="96"/>
      <c r="Y44" s="35">
        <v>0</v>
      </c>
      <c r="Z44" s="17"/>
      <c r="AA44" s="35">
        <v>0</v>
      </c>
      <c r="AB44" s="17"/>
      <c r="AC44" s="35">
        <v>0</v>
      </c>
      <c r="AD44" s="17"/>
      <c r="AE44" s="35">
        <f t="shared" si="2"/>
        <v>0</v>
      </c>
      <c r="AF44" s="40"/>
      <c r="AG44" s="35">
        <v>0</v>
      </c>
      <c r="AH44" s="40"/>
      <c r="AI44" s="35">
        <v>0</v>
      </c>
      <c r="AJ44" s="17"/>
      <c r="AK44" s="35">
        <v>0</v>
      </c>
      <c r="AL44" s="17"/>
      <c r="AM44" s="35">
        <v>0</v>
      </c>
      <c r="AN44" s="17"/>
      <c r="AO44" s="35">
        <f t="shared" si="3"/>
        <v>0</v>
      </c>
      <c r="AP44" s="40"/>
      <c r="AQ44" s="17">
        <v>0</v>
      </c>
      <c r="AR44" s="17"/>
      <c r="AS44" s="17">
        <v>0</v>
      </c>
      <c r="AT44" s="17"/>
      <c r="AU44" s="35">
        <f t="shared" si="4"/>
        <v>0</v>
      </c>
      <c r="AV44" s="96"/>
      <c r="AW44" s="81" t="s">
        <v>168</v>
      </c>
      <c r="AX44" s="96"/>
      <c r="AY44" s="35">
        <v>0</v>
      </c>
      <c r="AZ44" s="17"/>
      <c r="BA44" s="35">
        <v>0</v>
      </c>
      <c r="BB44" s="17"/>
      <c r="BC44" s="35">
        <v>0</v>
      </c>
      <c r="BD44" s="17"/>
      <c r="BE44" s="35">
        <v>0</v>
      </c>
      <c r="BF44" s="17"/>
      <c r="BG44" s="35">
        <f t="shared" si="15"/>
        <v>0</v>
      </c>
      <c r="BH44" s="79"/>
    </row>
    <row r="45" spans="1:60" ht="12.75" customHeight="1" hidden="1">
      <c r="A45" s="77" t="s">
        <v>39</v>
      </c>
      <c r="B45" s="96"/>
      <c r="C45" s="35">
        <f t="shared" si="13"/>
        <v>0</v>
      </c>
      <c r="D45" s="35"/>
      <c r="E45" s="35">
        <v>0</v>
      </c>
      <c r="F45" s="35"/>
      <c r="G45" s="35">
        <v>0</v>
      </c>
      <c r="H45" s="35"/>
      <c r="I45" s="35">
        <f t="shared" si="0"/>
        <v>0</v>
      </c>
      <c r="J45" s="35"/>
      <c r="K45" s="35">
        <f t="shared" si="14"/>
        <v>0</v>
      </c>
      <c r="L45" s="35"/>
      <c r="M45" s="35">
        <v>0</v>
      </c>
      <c r="N45" s="35"/>
      <c r="O45" s="35">
        <v>0</v>
      </c>
      <c r="P45" s="35"/>
      <c r="Q45" s="35">
        <v>0</v>
      </c>
      <c r="R45" s="35"/>
      <c r="S45" s="35">
        <v>0</v>
      </c>
      <c r="T45" s="35"/>
      <c r="U45" s="35">
        <f t="shared" si="1"/>
        <v>0</v>
      </c>
      <c r="V45" s="96"/>
      <c r="W45" s="81" t="s">
        <v>39</v>
      </c>
      <c r="X45" s="96"/>
      <c r="Y45" s="35">
        <v>0</v>
      </c>
      <c r="Z45" s="17"/>
      <c r="AA45" s="35">
        <v>0</v>
      </c>
      <c r="AB45" s="17"/>
      <c r="AC45" s="35">
        <v>0</v>
      </c>
      <c r="AD45" s="17"/>
      <c r="AE45" s="35">
        <f t="shared" si="2"/>
        <v>0</v>
      </c>
      <c r="AF45" s="40"/>
      <c r="AG45" s="35">
        <v>0</v>
      </c>
      <c r="AH45" s="40"/>
      <c r="AI45" s="35">
        <v>0</v>
      </c>
      <c r="AJ45" s="17"/>
      <c r="AK45" s="35">
        <v>0</v>
      </c>
      <c r="AL45" s="17"/>
      <c r="AM45" s="35">
        <v>0</v>
      </c>
      <c r="AN45" s="17"/>
      <c r="AO45" s="35">
        <f t="shared" si="3"/>
        <v>0</v>
      </c>
      <c r="AP45" s="40"/>
      <c r="AQ45" s="17">
        <v>0</v>
      </c>
      <c r="AR45" s="17"/>
      <c r="AS45" s="17">
        <v>0</v>
      </c>
      <c r="AT45" s="17"/>
      <c r="AU45" s="35">
        <f t="shared" si="4"/>
        <v>0</v>
      </c>
      <c r="AV45" s="96"/>
      <c r="AW45" s="81" t="s">
        <v>39</v>
      </c>
      <c r="AX45" s="96"/>
      <c r="AY45" s="35">
        <v>0</v>
      </c>
      <c r="AZ45" s="17"/>
      <c r="BA45" s="35">
        <v>0</v>
      </c>
      <c r="BB45" s="17"/>
      <c r="BC45" s="35">
        <v>0</v>
      </c>
      <c r="BD45" s="17"/>
      <c r="BE45" s="35">
        <v>0</v>
      </c>
      <c r="BF45" s="17"/>
      <c r="BG45" s="35">
        <f t="shared" si="15"/>
        <v>0</v>
      </c>
      <c r="BH45" s="79"/>
    </row>
    <row r="46" spans="1:60" ht="12.75">
      <c r="A46" s="77" t="s">
        <v>40</v>
      </c>
      <c r="B46" s="96"/>
      <c r="C46" s="35">
        <f t="shared" si="13"/>
        <v>1988219</v>
      </c>
      <c r="D46" s="35"/>
      <c r="E46" s="35">
        <v>431193</v>
      </c>
      <c r="F46" s="35"/>
      <c r="G46" s="35">
        <v>2419412</v>
      </c>
      <c r="H46" s="35"/>
      <c r="I46" s="35">
        <f t="shared" si="0"/>
        <v>45989</v>
      </c>
      <c r="J46" s="35"/>
      <c r="K46" s="35">
        <f t="shared" si="14"/>
        <v>2520719</v>
      </c>
      <c r="L46" s="35"/>
      <c r="M46" s="35">
        <v>2566708</v>
      </c>
      <c r="N46" s="35"/>
      <c r="O46" s="35">
        <v>431193</v>
      </c>
      <c r="P46" s="35"/>
      <c r="Q46" s="35">
        <v>0</v>
      </c>
      <c r="R46" s="35"/>
      <c r="S46" s="35">
        <v>-578489</v>
      </c>
      <c r="T46" s="35"/>
      <c r="U46" s="35">
        <f t="shared" si="1"/>
        <v>-147296</v>
      </c>
      <c r="V46" s="35"/>
      <c r="W46" s="81" t="s">
        <v>40</v>
      </c>
      <c r="X46" s="35"/>
      <c r="Y46" s="35">
        <v>980851</v>
      </c>
      <c r="Z46" s="17"/>
      <c r="AA46" s="35">
        <f>188795+259529+105740+112904+4773+75115</f>
        <v>746856</v>
      </c>
      <c r="AB46" s="17"/>
      <c r="AC46" s="35">
        <v>31465</v>
      </c>
      <c r="AD46" s="17"/>
      <c r="AE46" s="35">
        <f t="shared" si="2"/>
        <v>202530</v>
      </c>
      <c r="AF46" s="40"/>
      <c r="AG46" s="35">
        <v>69348</v>
      </c>
      <c r="AH46" s="40"/>
      <c r="AI46" s="35">
        <v>0</v>
      </c>
      <c r="AJ46" s="17"/>
      <c r="AK46" s="35">
        <v>0</v>
      </c>
      <c r="AL46" s="17"/>
      <c r="AM46" s="35">
        <v>0</v>
      </c>
      <c r="AN46" s="17"/>
      <c r="AO46" s="35">
        <f t="shared" si="3"/>
        <v>271878</v>
      </c>
      <c r="AP46" s="40"/>
      <c r="AQ46" s="17">
        <v>0</v>
      </c>
      <c r="AR46" s="17"/>
      <c r="AS46" s="17">
        <v>0</v>
      </c>
      <c r="AT46" s="17"/>
      <c r="AU46" s="35">
        <f t="shared" si="4"/>
        <v>1942230</v>
      </c>
      <c r="AV46" s="17"/>
      <c r="AW46" s="81" t="s">
        <v>40</v>
      </c>
      <c r="AX46" s="17"/>
      <c r="AY46" s="35">
        <v>0</v>
      </c>
      <c r="AZ46" s="17"/>
      <c r="BA46" s="35">
        <v>0</v>
      </c>
      <c r="BB46" s="17"/>
      <c r="BC46" s="35">
        <v>0</v>
      </c>
      <c r="BD46" s="17"/>
      <c r="BE46" s="35">
        <f>19106+2501613</f>
        <v>2520719</v>
      </c>
      <c r="BF46" s="17"/>
      <c r="BG46" s="35">
        <f t="shared" si="15"/>
        <v>2520719</v>
      </c>
      <c r="BH46" s="83"/>
    </row>
    <row r="47" spans="1:60" ht="12.75" hidden="1">
      <c r="A47" s="77" t="s">
        <v>41</v>
      </c>
      <c r="B47" s="96"/>
      <c r="C47" s="35">
        <f t="shared" si="13"/>
        <v>0</v>
      </c>
      <c r="D47" s="35"/>
      <c r="E47" s="35">
        <v>0</v>
      </c>
      <c r="F47" s="35"/>
      <c r="G47" s="35">
        <v>0</v>
      </c>
      <c r="H47" s="35"/>
      <c r="I47" s="35">
        <f t="shared" si="0"/>
        <v>0</v>
      </c>
      <c r="J47" s="35"/>
      <c r="K47" s="35">
        <f t="shared" si="14"/>
        <v>0</v>
      </c>
      <c r="L47" s="35"/>
      <c r="M47" s="35">
        <v>0</v>
      </c>
      <c r="N47" s="35"/>
      <c r="O47" s="35">
        <v>0</v>
      </c>
      <c r="P47" s="35"/>
      <c r="Q47" s="35">
        <v>0</v>
      </c>
      <c r="R47" s="35"/>
      <c r="S47" s="35">
        <v>0</v>
      </c>
      <c r="T47" s="35"/>
      <c r="U47" s="35">
        <f t="shared" si="1"/>
        <v>0</v>
      </c>
      <c r="V47" s="96"/>
      <c r="W47" s="81" t="s">
        <v>41</v>
      </c>
      <c r="X47" s="96"/>
      <c r="Y47" s="35">
        <v>0</v>
      </c>
      <c r="Z47" s="17"/>
      <c r="AA47" s="35">
        <v>0</v>
      </c>
      <c r="AB47" s="17"/>
      <c r="AC47" s="35">
        <v>0</v>
      </c>
      <c r="AD47" s="17"/>
      <c r="AE47" s="35">
        <f t="shared" si="2"/>
        <v>0</v>
      </c>
      <c r="AF47" s="40"/>
      <c r="AG47" s="35">
        <v>0</v>
      </c>
      <c r="AH47" s="40"/>
      <c r="AI47" s="35">
        <v>0</v>
      </c>
      <c r="AJ47" s="17"/>
      <c r="AK47" s="35">
        <v>0</v>
      </c>
      <c r="AL47" s="17"/>
      <c r="AM47" s="35">
        <v>0</v>
      </c>
      <c r="AN47" s="17"/>
      <c r="AO47" s="35">
        <f t="shared" si="3"/>
        <v>0</v>
      </c>
      <c r="AP47" s="40"/>
      <c r="AQ47" s="17">
        <v>0</v>
      </c>
      <c r="AR47" s="17"/>
      <c r="AS47" s="17">
        <v>0</v>
      </c>
      <c r="AT47" s="17"/>
      <c r="AU47" s="35">
        <f t="shared" si="4"/>
        <v>0</v>
      </c>
      <c r="AV47" s="96"/>
      <c r="AW47" s="81" t="s">
        <v>41</v>
      </c>
      <c r="AX47" s="96"/>
      <c r="AY47" s="35">
        <v>0</v>
      </c>
      <c r="AZ47" s="17"/>
      <c r="BA47" s="35">
        <v>0</v>
      </c>
      <c r="BB47" s="17"/>
      <c r="BC47" s="35">
        <v>0</v>
      </c>
      <c r="BD47" s="17"/>
      <c r="BE47" s="35">
        <v>0</v>
      </c>
      <c r="BF47" s="17"/>
      <c r="BG47" s="35">
        <f t="shared" si="15"/>
        <v>0</v>
      </c>
      <c r="BH47" s="79"/>
    </row>
    <row r="48" spans="1:60" ht="12.75" hidden="1">
      <c r="A48" s="77" t="s">
        <v>42</v>
      </c>
      <c r="B48" s="96"/>
      <c r="C48" s="35">
        <f t="shared" si="13"/>
        <v>0</v>
      </c>
      <c r="D48" s="35"/>
      <c r="E48" s="35">
        <v>0</v>
      </c>
      <c r="F48" s="35"/>
      <c r="G48" s="35">
        <v>0</v>
      </c>
      <c r="H48" s="35"/>
      <c r="I48" s="35">
        <f t="shared" si="0"/>
        <v>0</v>
      </c>
      <c r="J48" s="35"/>
      <c r="K48" s="35">
        <f t="shared" si="14"/>
        <v>0</v>
      </c>
      <c r="L48" s="35"/>
      <c r="M48" s="35">
        <v>0</v>
      </c>
      <c r="N48" s="35"/>
      <c r="O48" s="35">
        <v>0</v>
      </c>
      <c r="P48" s="35"/>
      <c r="Q48" s="35">
        <v>0</v>
      </c>
      <c r="R48" s="35"/>
      <c r="S48" s="35">
        <v>0</v>
      </c>
      <c r="T48" s="35"/>
      <c r="U48" s="35">
        <f t="shared" si="1"/>
        <v>0</v>
      </c>
      <c r="V48" s="35"/>
      <c r="W48" s="81" t="s">
        <v>42</v>
      </c>
      <c r="X48" s="35"/>
      <c r="Y48" s="35">
        <v>0</v>
      </c>
      <c r="Z48" s="17"/>
      <c r="AA48" s="35">
        <v>0</v>
      </c>
      <c r="AB48" s="17"/>
      <c r="AC48" s="35">
        <v>0</v>
      </c>
      <c r="AD48" s="17"/>
      <c r="AE48" s="35">
        <f t="shared" si="2"/>
        <v>0</v>
      </c>
      <c r="AF48" s="40"/>
      <c r="AG48" s="35">
        <v>0</v>
      </c>
      <c r="AH48" s="40"/>
      <c r="AI48" s="35">
        <v>0</v>
      </c>
      <c r="AJ48" s="17"/>
      <c r="AK48" s="35">
        <v>0</v>
      </c>
      <c r="AL48" s="17"/>
      <c r="AM48" s="35">
        <v>0</v>
      </c>
      <c r="AN48" s="17"/>
      <c r="AO48" s="35">
        <f t="shared" si="3"/>
        <v>0</v>
      </c>
      <c r="AP48" s="40"/>
      <c r="AQ48" s="17">
        <v>0</v>
      </c>
      <c r="AR48" s="17"/>
      <c r="AS48" s="17">
        <v>0</v>
      </c>
      <c r="AT48" s="17"/>
      <c r="AU48" s="35">
        <f t="shared" si="4"/>
        <v>0</v>
      </c>
      <c r="AV48" s="17"/>
      <c r="AW48" s="81" t="s">
        <v>42</v>
      </c>
      <c r="AX48" s="17"/>
      <c r="AY48" s="35">
        <v>0</v>
      </c>
      <c r="AZ48" s="17"/>
      <c r="BA48" s="35">
        <v>0</v>
      </c>
      <c r="BB48" s="17"/>
      <c r="BC48" s="35">
        <v>0</v>
      </c>
      <c r="BD48" s="17"/>
      <c r="BE48" s="35">
        <v>0</v>
      </c>
      <c r="BF48" s="17"/>
      <c r="BG48" s="35">
        <f t="shared" si="15"/>
        <v>0</v>
      </c>
      <c r="BH48" s="79"/>
    </row>
    <row r="49" spans="1:60" ht="12.75" hidden="1">
      <c r="A49" s="77" t="s">
        <v>43</v>
      </c>
      <c r="B49" s="96"/>
      <c r="C49" s="35">
        <f t="shared" si="13"/>
        <v>0</v>
      </c>
      <c r="D49" s="35"/>
      <c r="E49" s="35">
        <v>0</v>
      </c>
      <c r="F49" s="35"/>
      <c r="G49" s="35">
        <v>0</v>
      </c>
      <c r="H49" s="35"/>
      <c r="I49" s="35">
        <f t="shared" si="0"/>
        <v>-4019383</v>
      </c>
      <c r="J49" s="35"/>
      <c r="K49" s="35">
        <f t="shared" si="14"/>
        <v>4019383</v>
      </c>
      <c r="L49" s="35"/>
      <c r="M49" s="35">
        <v>0</v>
      </c>
      <c r="N49" s="35"/>
      <c r="O49" s="35">
        <v>0</v>
      </c>
      <c r="P49" s="35"/>
      <c r="Q49" s="35">
        <v>0</v>
      </c>
      <c r="R49" s="35"/>
      <c r="S49" s="35">
        <v>0</v>
      </c>
      <c r="T49" s="35"/>
      <c r="U49" s="35">
        <f t="shared" si="1"/>
        <v>0</v>
      </c>
      <c r="V49" s="35"/>
      <c r="W49" s="81" t="s">
        <v>43</v>
      </c>
      <c r="X49" s="35"/>
      <c r="Y49" s="35">
        <v>0</v>
      </c>
      <c r="Z49" s="17"/>
      <c r="AA49" s="35">
        <v>0</v>
      </c>
      <c r="AB49" s="17"/>
      <c r="AC49" s="35">
        <v>0</v>
      </c>
      <c r="AD49" s="17"/>
      <c r="AE49" s="35">
        <f t="shared" si="2"/>
        <v>0</v>
      </c>
      <c r="AF49" s="40"/>
      <c r="AG49" s="35">
        <v>0</v>
      </c>
      <c r="AH49" s="40"/>
      <c r="AI49" s="35">
        <v>0</v>
      </c>
      <c r="AJ49" s="17"/>
      <c r="AK49" s="35">
        <v>0</v>
      </c>
      <c r="AL49" s="17"/>
      <c r="AM49" s="35">
        <v>0</v>
      </c>
      <c r="AN49" s="17"/>
      <c r="AO49" s="35">
        <f t="shared" si="3"/>
        <v>0</v>
      </c>
      <c r="AP49" s="40"/>
      <c r="AQ49" s="17">
        <v>0</v>
      </c>
      <c r="AR49" s="17"/>
      <c r="AS49" s="17">
        <v>0</v>
      </c>
      <c r="AT49" s="17"/>
      <c r="AU49" s="35">
        <f t="shared" si="4"/>
        <v>4019383</v>
      </c>
      <c r="AV49" s="17"/>
      <c r="AW49" s="81" t="s">
        <v>43</v>
      </c>
      <c r="AX49" s="17"/>
      <c r="AY49" s="35">
        <v>0</v>
      </c>
      <c r="AZ49" s="17"/>
      <c r="BA49" s="35">
        <v>0</v>
      </c>
      <c r="BB49" s="17"/>
      <c r="BC49" s="35">
        <v>0</v>
      </c>
      <c r="BD49" s="17"/>
      <c r="BE49" s="35">
        <f>4019383</f>
        <v>4019383</v>
      </c>
      <c r="BF49" s="17"/>
      <c r="BG49" s="35">
        <f t="shared" si="15"/>
        <v>4019383</v>
      </c>
      <c r="BH49" s="79"/>
    </row>
    <row r="50" spans="1:60" ht="12.75">
      <c r="A50" s="77" t="s">
        <v>44</v>
      </c>
      <c r="B50" s="96"/>
      <c r="C50" s="35">
        <f t="shared" si="13"/>
        <v>571314</v>
      </c>
      <c r="D50" s="35"/>
      <c r="E50" s="35">
        <v>2760515</v>
      </c>
      <c r="F50" s="35"/>
      <c r="G50" s="35">
        <v>3331829</v>
      </c>
      <c r="H50" s="35"/>
      <c r="I50" s="35">
        <f t="shared" si="0"/>
        <v>561928</v>
      </c>
      <c r="J50" s="35"/>
      <c r="K50" s="35">
        <f t="shared" si="14"/>
        <v>3327438</v>
      </c>
      <c r="L50" s="35"/>
      <c r="M50" s="35">
        <v>3889366</v>
      </c>
      <c r="N50" s="35"/>
      <c r="O50" s="35">
        <v>2162819</v>
      </c>
      <c r="P50" s="35"/>
      <c r="Q50" s="35">
        <v>0</v>
      </c>
      <c r="R50" s="35"/>
      <c r="S50" s="35">
        <v>-2720356</v>
      </c>
      <c r="T50" s="35"/>
      <c r="U50" s="35">
        <f t="shared" si="1"/>
        <v>-557537</v>
      </c>
      <c r="V50" s="35"/>
      <c r="W50" s="81" t="s">
        <v>44</v>
      </c>
      <c r="X50" s="35"/>
      <c r="Y50" s="35">
        <v>2056714</v>
      </c>
      <c r="Z50" s="17"/>
      <c r="AA50" s="35">
        <f>396713+1289394+7922+458937</f>
        <v>2152966</v>
      </c>
      <c r="AB50" s="17"/>
      <c r="AC50" s="35">
        <v>123553</v>
      </c>
      <c r="AD50" s="17"/>
      <c r="AE50" s="35">
        <f t="shared" si="2"/>
        <v>-219805</v>
      </c>
      <c r="AF50" s="40"/>
      <c r="AG50" s="35">
        <v>-76683</v>
      </c>
      <c r="AH50" s="40"/>
      <c r="AI50" s="35">
        <v>160000</v>
      </c>
      <c r="AJ50" s="17"/>
      <c r="AK50" s="35">
        <v>0</v>
      </c>
      <c r="AL50" s="17"/>
      <c r="AM50" s="35">
        <v>0</v>
      </c>
      <c r="AN50" s="17"/>
      <c r="AO50" s="35">
        <f t="shared" si="3"/>
        <v>-136488</v>
      </c>
      <c r="AP50" s="40"/>
      <c r="AQ50" s="17">
        <v>0</v>
      </c>
      <c r="AR50" s="17"/>
      <c r="AS50" s="17">
        <v>0</v>
      </c>
      <c r="AT50" s="17"/>
      <c r="AU50" s="35">
        <f t="shared" si="4"/>
        <v>9386</v>
      </c>
      <c r="AV50" s="17"/>
      <c r="AW50" s="81" t="s">
        <v>44</v>
      </c>
      <c r="AX50" s="17"/>
      <c r="AY50" s="35">
        <f>597696-300000</f>
        <v>297696</v>
      </c>
      <c r="AZ50" s="17"/>
      <c r="BA50" s="35">
        <v>0</v>
      </c>
      <c r="BB50" s="17"/>
      <c r="BC50" s="35">
        <v>0</v>
      </c>
      <c r="BD50" s="17"/>
      <c r="BE50" s="35">
        <v>3029742</v>
      </c>
      <c r="BF50" s="17"/>
      <c r="BG50" s="35">
        <f t="shared" si="15"/>
        <v>3327438</v>
      </c>
      <c r="BH50" s="79"/>
    </row>
    <row r="51" spans="1:60" ht="12.75" hidden="1">
      <c r="A51" s="77" t="s">
        <v>241</v>
      </c>
      <c r="B51" s="96"/>
      <c r="C51" s="35">
        <f t="shared" si="13"/>
        <v>0</v>
      </c>
      <c r="D51" s="35"/>
      <c r="E51" s="35">
        <v>0</v>
      </c>
      <c r="F51" s="35"/>
      <c r="G51" s="35">
        <v>0</v>
      </c>
      <c r="H51" s="35"/>
      <c r="I51" s="35">
        <f t="shared" si="0"/>
        <v>0</v>
      </c>
      <c r="J51" s="35"/>
      <c r="K51" s="35">
        <f t="shared" si="14"/>
        <v>0</v>
      </c>
      <c r="L51" s="35"/>
      <c r="M51" s="35">
        <v>0</v>
      </c>
      <c r="N51" s="35"/>
      <c r="O51" s="35">
        <v>0</v>
      </c>
      <c r="P51" s="35"/>
      <c r="Q51" s="35">
        <v>0</v>
      </c>
      <c r="R51" s="35"/>
      <c r="S51" s="35">
        <v>0</v>
      </c>
      <c r="T51" s="35"/>
      <c r="U51" s="35">
        <f t="shared" si="1"/>
        <v>0</v>
      </c>
      <c r="V51" s="96"/>
      <c r="W51" s="81" t="s">
        <v>45</v>
      </c>
      <c r="X51" s="96"/>
      <c r="Y51" s="35">
        <v>0</v>
      </c>
      <c r="Z51" s="17"/>
      <c r="AA51" s="35">
        <v>0</v>
      </c>
      <c r="AB51" s="17"/>
      <c r="AC51" s="35">
        <v>0</v>
      </c>
      <c r="AD51" s="17"/>
      <c r="AE51" s="35">
        <f t="shared" si="2"/>
        <v>0</v>
      </c>
      <c r="AF51" s="40"/>
      <c r="AG51" s="35">
        <v>0</v>
      </c>
      <c r="AH51" s="40"/>
      <c r="AI51" s="35">
        <v>0</v>
      </c>
      <c r="AJ51" s="17"/>
      <c r="AK51" s="35">
        <v>0</v>
      </c>
      <c r="AL51" s="17"/>
      <c r="AM51" s="35">
        <v>0</v>
      </c>
      <c r="AN51" s="17"/>
      <c r="AO51" s="35">
        <f t="shared" si="3"/>
        <v>0</v>
      </c>
      <c r="AP51" s="40"/>
      <c r="AQ51" s="17">
        <v>0</v>
      </c>
      <c r="AR51" s="17"/>
      <c r="AS51" s="17">
        <v>0</v>
      </c>
      <c r="AT51" s="17"/>
      <c r="AU51" s="35">
        <f t="shared" si="4"/>
        <v>0</v>
      </c>
      <c r="AV51" s="96"/>
      <c r="AW51" s="81" t="s">
        <v>45</v>
      </c>
      <c r="AX51" s="96"/>
      <c r="AY51" s="35">
        <v>0</v>
      </c>
      <c r="AZ51" s="17"/>
      <c r="BA51" s="35">
        <v>0</v>
      </c>
      <c r="BB51" s="17"/>
      <c r="BC51" s="35">
        <v>0</v>
      </c>
      <c r="BD51" s="17"/>
      <c r="BE51" s="35">
        <v>0</v>
      </c>
      <c r="BF51" s="17"/>
      <c r="BG51" s="35">
        <f t="shared" si="15"/>
        <v>0</v>
      </c>
      <c r="BH51" s="79"/>
    </row>
    <row r="52" spans="1:60" ht="12.75" hidden="1">
      <c r="A52" s="77" t="s">
        <v>46</v>
      </c>
      <c r="B52" s="96"/>
      <c r="C52" s="35">
        <f t="shared" si="13"/>
        <v>0</v>
      </c>
      <c r="D52" s="35"/>
      <c r="E52" s="35">
        <v>0</v>
      </c>
      <c r="F52" s="35"/>
      <c r="G52" s="35">
        <v>0</v>
      </c>
      <c r="H52" s="35"/>
      <c r="I52" s="35">
        <f t="shared" si="0"/>
        <v>0</v>
      </c>
      <c r="J52" s="35"/>
      <c r="K52" s="35">
        <f t="shared" si="14"/>
        <v>0</v>
      </c>
      <c r="L52" s="35"/>
      <c r="M52" s="35">
        <v>0</v>
      </c>
      <c r="N52" s="35"/>
      <c r="O52" s="35">
        <v>0</v>
      </c>
      <c r="P52" s="35"/>
      <c r="Q52" s="35">
        <v>0</v>
      </c>
      <c r="R52" s="35"/>
      <c r="S52" s="35">
        <v>0</v>
      </c>
      <c r="T52" s="35"/>
      <c r="U52" s="35">
        <f t="shared" si="1"/>
        <v>0</v>
      </c>
      <c r="V52" s="96"/>
      <c r="W52" s="81" t="s">
        <v>46</v>
      </c>
      <c r="X52" s="96"/>
      <c r="Y52" s="35">
        <v>0</v>
      </c>
      <c r="Z52" s="17"/>
      <c r="AA52" s="35">
        <v>0</v>
      </c>
      <c r="AB52" s="17"/>
      <c r="AC52" s="35">
        <v>0</v>
      </c>
      <c r="AD52" s="17"/>
      <c r="AE52" s="35">
        <f t="shared" si="2"/>
        <v>0</v>
      </c>
      <c r="AF52" s="40"/>
      <c r="AG52" s="35">
        <v>0</v>
      </c>
      <c r="AH52" s="40"/>
      <c r="AI52" s="35">
        <v>0</v>
      </c>
      <c r="AJ52" s="17"/>
      <c r="AK52" s="35">
        <v>0</v>
      </c>
      <c r="AL52" s="17"/>
      <c r="AM52" s="35">
        <v>0</v>
      </c>
      <c r="AN52" s="17"/>
      <c r="AO52" s="35">
        <f t="shared" si="3"/>
        <v>0</v>
      </c>
      <c r="AP52" s="40"/>
      <c r="AQ52" s="17">
        <v>0</v>
      </c>
      <c r="AR52" s="17"/>
      <c r="AS52" s="17">
        <v>0</v>
      </c>
      <c r="AT52" s="17"/>
      <c r="AU52" s="35">
        <f t="shared" si="4"/>
        <v>0</v>
      </c>
      <c r="AV52" s="96"/>
      <c r="AW52" s="81" t="s">
        <v>46</v>
      </c>
      <c r="AX52" s="96"/>
      <c r="AY52" s="35">
        <v>0</v>
      </c>
      <c r="AZ52" s="17"/>
      <c r="BA52" s="35">
        <v>0</v>
      </c>
      <c r="BB52" s="17"/>
      <c r="BC52" s="35">
        <v>0</v>
      </c>
      <c r="BD52" s="17"/>
      <c r="BE52" s="35">
        <v>0</v>
      </c>
      <c r="BF52" s="17"/>
      <c r="BG52" s="35">
        <f t="shared" si="15"/>
        <v>0</v>
      </c>
      <c r="BH52" s="79"/>
    </row>
    <row r="53" spans="1:60" ht="12.75">
      <c r="A53" s="77" t="s">
        <v>47</v>
      </c>
      <c r="B53" s="96"/>
      <c r="C53" s="35">
        <f t="shared" si="13"/>
        <v>75940</v>
      </c>
      <c r="D53" s="35"/>
      <c r="E53" s="35">
        <v>143164</v>
      </c>
      <c r="F53" s="35"/>
      <c r="G53" s="35">
        <v>219104</v>
      </c>
      <c r="H53" s="35"/>
      <c r="I53" s="35">
        <f t="shared" si="0"/>
        <v>79100</v>
      </c>
      <c r="J53" s="35"/>
      <c r="K53" s="35">
        <f t="shared" si="14"/>
        <v>1481187</v>
      </c>
      <c r="L53" s="35"/>
      <c r="M53" s="35">
        <v>1560287</v>
      </c>
      <c r="N53" s="35"/>
      <c r="O53" s="35">
        <v>143164</v>
      </c>
      <c r="P53" s="35"/>
      <c r="Q53" s="35">
        <v>0</v>
      </c>
      <c r="R53" s="35"/>
      <c r="S53" s="35">
        <v>-1484347</v>
      </c>
      <c r="T53" s="35"/>
      <c r="U53" s="35">
        <f t="shared" si="1"/>
        <v>-1341183</v>
      </c>
      <c r="V53" s="35"/>
      <c r="W53" s="81" t="s">
        <v>47</v>
      </c>
      <c r="X53" s="35"/>
      <c r="Y53" s="35">
        <v>0</v>
      </c>
      <c r="Z53" s="17"/>
      <c r="AA53" s="35">
        <v>0</v>
      </c>
      <c r="AB53" s="17"/>
      <c r="AC53" s="35">
        <v>0</v>
      </c>
      <c r="AD53" s="17"/>
      <c r="AE53" s="35">
        <f t="shared" si="2"/>
        <v>0</v>
      </c>
      <c r="AF53" s="40"/>
      <c r="AG53" s="35">
        <v>21017</v>
      </c>
      <c r="AH53" s="40"/>
      <c r="AI53" s="35">
        <v>86618</v>
      </c>
      <c r="AJ53" s="17"/>
      <c r="AK53" s="35">
        <v>0</v>
      </c>
      <c r="AL53" s="17"/>
      <c r="AM53" s="35">
        <v>0</v>
      </c>
      <c r="AN53" s="17"/>
      <c r="AO53" s="35">
        <f t="shared" si="3"/>
        <v>107635</v>
      </c>
      <c r="AP53" s="40"/>
      <c r="AQ53" s="17">
        <v>0</v>
      </c>
      <c r="AR53" s="17"/>
      <c r="AS53" s="17">
        <v>0</v>
      </c>
      <c r="AT53" s="17"/>
      <c r="AU53" s="35">
        <f t="shared" si="4"/>
        <v>-3160</v>
      </c>
      <c r="AV53" s="17"/>
      <c r="AW53" s="81" t="s">
        <v>47</v>
      </c>
      <c r="AX53" s="17"/>
      <c r="AY53" s="35">
        <v>0</v>
      </c>
      <c r="AZ53" s="17"/>
      <c r="BA53" s="35">
        <v>0</v>
      </c>
      <c r="BB53" s="17"/>
      <c r="BC53" s="35">
        <v>0</v>
      </c>
      <c r="BD53" s="17"/>
      <c r="BE53" s="35">
        <f>1560287-79100</f>
        <v>1481187</v>
      </c>
      <c r="BF53" s="17"/>
      <c r="BG53" s="35">
        <f t="shared" si="15"/>
        <v>1481187</v>
      </c>
      <c r="BH53" s="79"/>
    </row>
    <row r="54" spans="1:60" ht="12.75">
      <c r="A54" s="77" t="s">
        <v>48</v>
      </c>
      <c r="B54" s="96"/>
      <c r="C54" s="35">
        <f t="shared" si="13"/>
        <v>11969670</v>
      </c>
      <c r="D54" s="35"/>
      <c r="E54" s="35">
        <v>17152507</v>
      </c>
      <c r="F54" s="35"/>
      <c r="G54" s="35">
        <v>29122177</v>
      </c>
      <c r="H54" s="35"/>
      <c r="I54" s="35">
        <f t="shared" si="0"/>
        <v>2952207</v>
      </c>
      <c r="J54" s="35"/>
      <c r="K54" s="35">
        <f aca="true" t="shared" si="16" ref="K54:K98">SUM(BG54)</f>
        <v>15696946</v>
      </c>
      <c r="L54" s="35"/>
      <c r="M54" s="35">
        <v>18649153</v>
      </c>
      <c r="N54" s="35"/>
      <c r="O54" s="35">
        <v>14692507</v>
      </c>
      <c r="P54" s="35"/>
      <c r="Q54" s="35">
        <v>0</v>
      </c>
      <c r="R54" s="35"/>
      <c r="S54" s="35">
        <v>-4219483</v>
      </c>
      <c r="T54" s="35"/>
      <c r="U54" s="35">
        <f t="shared" si="1"/>
        <v>10473024</v>
      </c>
      <c r="V54" s="96"/>
      <c r="W54" s="81" t="s">
        <v>48</v>
      </c>
      <c r="X54" s="96"/>
      <c r="Y54" s="35">
        <v>5961247</v>
      </c>
      <c r="Z54" s="17"/>
      <c r="AA54" s="35">
        <f>12145409-461908</f>
        <v>11683501</v>
      </c>
      <c r="AB54" s="17"/>
      <c r="AC54" s="35">
        <v>461908</v>
      </c>
      <c r="AD54" s="17"/>
      <c r="AE54" s="35">
        <f t="shared" si="2"/>
        <v>-6184162</v>
      </c>
      <c r="AF54" s="40"/>
      <c r="AG54" s="35">
        <v>58537</v>
      </c>
      <c r="AH54" s="40"/>
      <c r="AI54" s="35">
        <v>0</v>
      </c>
      <c r="AJ54" s="17"/>
      <c r="AK54" s="35">
        <v>0</v>
      </c>
      <c r="AL54" s="17"/>
      <c r="AM54" s="35">
        <v>29634</v>
      </c>
      <c r="AN54" s="17"/>
      <c r="AO54" s="35">
        <f t="shared" si="3"/>
        <v>-6095991</v>
      </c>
      <c r="AP54" s="40"/>
      <c r="AQ54" s="17">
        <v>0</v>
      </c>
      <c r="AR54" s="17"/>
      <c r="AS54" s="17">
        <v>0</v>
      </c>
      <c r="AT54" s="17"/>
      <c r="AU54" s="35">
        <f t="shared" si="4"/>
        <v>9017463</v>
      </c>
      <c r="AV54" s="96"/>
      <c r="AW54" s="81" t="s">
        <v>48</v>
      </c>
      <c r="AX54" s="96"/>
      <c r="AY54" s="35">
        <v>0</v>
      </c>
      <c r="AZ54" s="17"/>
      <c r="BA54" s="35">
        <v>0</v>
      </c>
      <c r="BB54" s="17"/>
      <c r="BC54" s="35">
        <v>0</v>
      </c>
      <c r="BD54" s="17"/>
      <c r="BE54" s="35">
        <f>111237+15585709</f>
        <v>15696946</v>
      </c>
      <c r="BF54" s="17"/>
      <c r="BG54" s="35">
        <f t="shared" si="15"/>
        <v>15696946</v>
      </c>
      <c r="BH54" s="79"/>
    </row>
    <row r="55" spans="1:60" ht="12.75" hidden="1">
      <c r="A55" s="77" t="s">
        <v>170</v>
      </c>
      <c r="B55" s="96"/>
      <c r="C55" s="35">
        <f t="shared" si="13"/>
        <v>0</v>
      </c>
      <c r="D55" s="35"/>
      <c r="E55" s="35">
        <v>0</v>
      </c>
      <c r="F55" s="35"/>
      <c r="G55" s="35">
        <v>0</v>
      </c>
      <c r="H55" s="35"/>
      <c r="I55" s="35">
        <f t="shared" si="0"/>
        <v>0</v>
      </c>
      <c r="J55" s="35"/>
      <c r="K55" s="35">
        <f t="shared" si="16"/>
        <v>0</v>
      </c>
      <c r="L55" s="35"/>
      <c r="M55" s="35">
        <v>0</v>
      </c>
      <c r="N55" s="35"/>
      <c r="O55" s="35">
        <v>0</v>
      </c>
      <c r="P55" s="35"/>
      <c r="Q55" s="35">
        <v>0</v>
      </c>
      <c r="R55" s="35"/>
      <c r="S55" s="35">
        <v>0</v>
      </c>
      <c r="T55" s="35"/>
      <c r="U55" s="35">
        <f t="shared" si="1"/>
        <v>0</v>
      </c>
      <c r="V55" s="96"/>
      <c r="W55" s="81" t="s">
        <v>170</v>
      </c>
      <c r="X55" s="96"/>
      <c r="Y55" s="35">
        <v>0</v>
      </c>
      <c r="Z55" s="17"/>
      <c r="AA55" s="35">
        <v>0</v>
      </c>
      <c r="AB55" s="17"/>
      <c r="AC55" s="35">
        <v>0</v>
      </c>
      <c r="AD55" s="17"/>
      <c r="AE55" s="35">
        <f t="shared" si="2"/>
        <v>0</v>
      </c>
      <c r="AF55" s="40"/>
      <c r="AG55" s="35">
        <v>0</v>
      </c>
      <c r="AH55" s="40"/>
      <c r="AI55" s="35">
        <v>0</v>
      </c>
      <c r="AJ55" s="17"/>
      <c r="AK55" s="35">
        <v>0</v>
      </c>
      <c r="AL55" s="17"/>
      <c r="AM55" s="35">
        <v>0</v>
      </c>
      <c r="AN55" s="17"/>
      <c r="AO55" s="35">
        <f t="shared" si="3"/>
        <v>0</v>
      </c>
      <c r="AP55" s="40"/>
      <c r="AQ55" s="17">
        <v>0</v>
      </c>
      <c r="AR55" s="17"/>
      <c r="AS55" s="17">
        <v>0</v>
      </c>
      <c r="AT55" s="17"/>
      <c r="AU55" s="35">
        <f t="shared" si="4"/>
        <v>0</v>
      </c>
      <c r="AV55" s="96"/>
      <c r="AW55" s="81" t="s">
        <v>170</v>
      </c>
      <c r="AX55" s="96"/>
      <c r="AY55" s="35">
        <v>0</v>
      </c>
      <c r="AZ55" s="17"/>
      <c r="BA55" s="35">
        <v>0</v>
      </c>
      <c r="BB55" s="17"/>
      <c r="BC55" s="35">
        <v>0</v>
      </c>
      <c r="BD55" s="17"/>
      <c r="BE55" s="35">
        <v>0</v>
      </c>
      <c r="BF55" s="17"/>
      <c r="BG55" s="35">
        <f t="shared" si="15"/>
        <v>0</v>
      </c>
      <c r="BH55" s="79"/>
    </row>
    <row r="56" spans="1:60" ht="12.75" hidden="1">
      <c r="A56" s="77" t="s">
        <v>49</v>
      </c>
      <c r="B56" s="96"/>
      <c r="C56" s="35">
        <f t="shared" si="13"/>
        <v>0</v>
      </c>
      <c r="D56" s="35"/>
      <c r="E56" s="35">
        <v>0</v>
      </c>
      <c r="F56" s="35"/>
      <c r="G56" s="35">
        <v>0</v>
      </c>
      <c r="H56" s="35"/>
      <c r="I56" s="35">
        <f t="shared" si="0"/>
        <v>0</v>
      </c>
      <c r="J56" s="35"/>
      <c r="K56" s="35">
        <f t="shared" si="16"/>
        <v>0</v>
      </c>
      <c r="L56" s="35"/>
      <c r="M56" s="35">
        <v>0</v>
      </c>
      <c r="N56" s="35"/>
      <c r="O56" s="35">
        <v>0</v>
      </c>
      <c r="P56" s="35"/>
      <c r="Q56" s="35">
        <v>0</v>
      </c>
      <c r="R56" s="35"/>
      <c r="S56" s="35">
        <v>0</v>
      </c>
      <c r="T56" s="35"/>
      <c r="U56" s="35">
        <f t="shared" si="1"/>
        <v>0</v>
      </c>
      <c r="V56" s="96"/>
      <c r="W56" s="81" t="s">
        <v>49</v>
      </c>
      <c r="X56" s="96"/>
      <c r="Y56" s="35">
        <v>0</v>
      </c>
      <c r="Z56" s="17"/>
      <c r="AA56" s="35">
        <v>0</v>
      </c>
      <c r="AB56" s="17"/>
      <c r="AC56" s="35">
        <v>0</v>
      </c>
      <c r="AD56" s="17"/>
      <c r="AE56" s="35">
        <f t="shared" si="2"/>
        <v>0</v>
      </c>
      <c r="AF56" s="40"/>
      <c r="AG56" s="35">
        <v>0</v>
      </c>
      <c r="AH56" s="40"/>
      <c r="AI56" s="35">
        <v>0</v>
      </c>
      <c r="AJ56" s="17"/>
      <c r="AK56" s="35">
        <v>0</v>
      </c>
      <c r="AL56" s="17"/>
      <c r="AM56" s="35">
        <v>0</v>
      </c>
      <c r="AN56" s="17"/>
      <c r="AO56" s="35">
        <f t="shared" si="3"/>
        <v>0</v>
      </c>
      <c r="AP56" s="40"/>
      <c r="AQ56" s="17">
        <v>0</v>
      </c>
      <c r="AR56" s="17"/>
      <c r="AS56" s="17">
        <v>0</v>
      </c>
      <c r="AT56" s="17"/>
      <c r="AU56" s="35">
        <f t="shared" si="4"/>
        <v>0</v>
      </c>
      <c r="AV56" s="96"/>
      <c r="AW56" s="81" t="s">
        <v>49</v>
      </c>
      <c r="AX56" s="96"/>
      <c r="AY56" s="35">
        <v>0</v>
      </c>
      <c r="AZ56" s="17"/>
      <c r="BA56" s="35">
        <v>0</v>
      </c>
      <c r="BB56" s="17"/>
      <c r="BC56" s="35">
        <v>0</v>
      </c>
      <c r="BD56" s="17"/>
      <c r="BE56" s="35">
        <v>0</v>
      </c>
      <c r="BF56" s="17"/>
      <c r="BG56" s="35">
        <f t="shared" si="15"/>
        <v>0</v>
      </c>
      <c r="BH56" s="79"/>
    </row>
    <row r="57" spans="1:60" ht="12.75" hidden="1">
      <c r="A57" s="77" t="s">
        <v>50</v>
      </c>
      <c r="B57" s="96"/>
      <c r="C57" s="35">
        <f t="shared" si="13"/>
        <v>0</v>
      </c>
      <c r="D57" s="35"/>
      <c r="E57" s="35">
        <v>0</v>
      </c>
      <c r="F57" s="35"/>
      <c r="G57" s="35">
        <v>0</v>
      </c>
      <c r="H57" s="35"/>
      <c r="I57" s="35">
        <f t="shared" si="0"/>
        <v>0</v>
      </c>
      <c r="J57" s="35"/>
      <c r="K57" s="35">
        <f t="shared" si="16"/>
        <v>0</v>
      </c>
      <c r="L57" s="35"/>
      <c r="M57" s="35">
        <v>0</v>
      </c>
      <c r="N57" s="35"/>
      <c r="O57" s="35">
        <v>0</v>
      </c>
      <c r="P57" s="35"/>
      <c r="Q57" s="35">
        <v>0</v>
      </c>
      <c r="R57" s="35"/>
      <c r="S57" s="35">
        <v>0</v>
      </c>
      <c r="T57" s="35"/>
      <c r="U57" s="35">
        <f t="shared" si="1"/>
        <v>0</v>
      </c>
      <c r="V57" s="96"/>
      <c r="W57" s="81" t="s">
        <v>50</v>
      </c>
      <c r="X57" s="96"/>
      <c r="Y57" s="35">
        <v>0</v>
      </c>
      <c r="Z57" s="17"/>
      <c r="AA57" s="35">
        <v>0</v>
      </c>
      <c r="AB57" s="17"/>
      <c r="AC57" s="35">
        <v>0</v>
      </c>
      <c r="AD57" s="17"/>
      <c r="AE57" s="35">
        <f t="shared" si="2"/>
        <v>0</v>
      </c>
      <c r="AF57" s="40"/>
      <c r="AG57" s="35">
        <v>0</v>
      </c>
      <c r="AH57" s="40"/>
      <c r="AI57" s="35">
        <v>0</v>
      </c>
      <c r="AJ57" s="17"/>
      <c r="AK57" s="35">
        <v>0</v>
      </c>
      <c r="AL57" s="17"/>
      <c r="AM57" s="35">
        <v>0</v>
      </c>
      <c r="AN57" s="17"/>
      <c r="AO57" s="35">
        <f t="shared" si="3"/>
        <v>0</v>
      </c>
      <c r="AP57" s="40"/>
      <c r="AQ57" s="17">
        <v>0</v>
      </c>
      <c r="AR57" s="17"/>
      <c r="AS57" s="17">
        <v>0</v>
      </c>
      <c r="AT57" s="17"/>
      <c r="AU57" s="35">
        <f t="shared" si="4"/>
        <v>0</v>
      </c>
      <c r="AV57" s="96"/>
      <c r="AW57" s="81" t="s">
        <v>50</v>
      </c>
      <c r="AX57" s="96"/>
      <c r="AY57" s="35">
        <v>0</v>
      </c>
      <c r="AZ57" s="17"/>
      <c r="BA57" s="35">
        <v>0</v>
      </c>
      <c r="BB57" s="17"/>
      <c r="BC57" s="35">
        <v>0</v>
      </c>
      <c r="BD57" s="17"/>
      <c r="BE57" s="35">
        <v>0</v>
      </c>
      <c r="BF57" s="17"/>
      <c r="BG57" s="35">
        <f t="shared" si="15"/>
        <v>0</v>
      </c>
      <c r="BH57" s="79"/>
    </row>
    <row r="58" spans="1:60" ht="12.75" hidden="1">
      <c r="A58" s="77" t="s">
        <v>246</v>
      </c>
      <c r="B58" s="96"/>
      <c r="C58" s="35">
        <f t="shared" si="13"/>
        <v>0</v>
      </c>
      <c r="D58" s="35"/>
      <c r="E58" s="35">
        <v>0</v>
      </c>
      <c r="F58" s="35"/>
      <c r="G58" s="35">
        <v>0</v>
      </c>
      <c r="H58" s="35"/>
      <c r="I58" s="35">
        <f t="shared" si="0"/>
        <v>0</v>
      </c>
      <c r="J58" s="35"/>
      <c r="K58" s="35">
        <f t="shared" si="16"/>
        <v>0</v>
      </c>
      <c r="L58" s="35"/>
      <c r="M58" s="35">
        <v>0</v>
      </c>
      <c r="N58" s="35"/>
      <c r="O58" s="35">
        <v>0</v>
      </c>
      <c r="P58" s="35"/>
      <c r="Q58" s="35">
        <v>0</v>
      </c>
      <c r="R58" s="35"/>
      <c r="S58" s="35">
        <v>0</v>
      </c>
      <c r="T58" s="35"/>
      <c r="U58" s="35">
        <f t="shared" si="1"/>
        <v>0</v>
      </c>
      <c r="V58" s="35"/>
      <c r="W58" s="81" t="s">
        <v>51</v>
      </c>
      <c r="X58" s="35"/>
      <c r="Y58" s="35">
        <v>0</v>
      </c>
      <c r="Z58" s="17"/>
      <c r="AA58" s="35">
        <v>0</v>
      </c>
      <c r="AB58" s="17"/>
      <c r="AC58" s="35">
        <v>0</v>
      </c>
      <c r="AD58" s="17"/>
      <c r="AE58" s="35">
        <f t="shared" si="2"/>
        <v>0</v>
      </c>
      <c r="AF58" s="40"/>
      <c r="AG58" s="35">
        <v>0</v>
      </c>
      <c r="AH58" s="40"/>
      <c r="AI58" s="35">
        <v>0</v>
      </c>
      <c r="AJ58" s="17"/>
      <c r="AK58" s="35">
        <v>0</v>
      </c>
      <c r="AL58" s="17"/>
      <c r="AM58" s="35">
        <v>0</v>
      </c>
      <c r="AN58" s="17"/>
      <c r="AO58" s="35">
        <f t="shared" si="3"/>
        <v>0</v>
      </c>
      <c r="AP58" s="40"/>
      <c r="AQ58" s="17">
        <v>0</v>
      </c>
      <c r="AR58" s="17"/>
      <c r="AS58" s="17">
        <v>0</v>
      </c>
      <c r="AT58" s="17"/>
      <c r="AU58" s="35">
        <f t="shared" si="4"/>
        <v>0</v>
      </c>
      <c r="AV58" s="17"/>
      <c r="AW58" s="81" t="s">
        <v>51</v>
      </c>
      <c r="AX58" s="17"/>
      <c r="AY58" s="35">
        <v>0</v>
      </c>
      <c r="AZ58" s="17"/>
      <c r="BA58" s="35">
        <v>0</v>
      </c>
      <c r="BB58" s="17"/>
      <c r="BC58" s="35">
        <v>0</v>
      </c>
      <c r="BD58" s="17"/>
      <c r="BE58" s="35">
        <v>0</v>
      </c>
      <c r="BF58" s="17"/>
      <c r="BG58" s="35">
        <f t="shared" si="15"/>
        <v>0</v>
      </c>
      <c r="BH58" s="79"/>
    </row>
    <row r="59" spans="1:60" ht="12.75" hidden="1">
      <c r="A59" s="77" t="s">
        <v>134</v>
      </c>
      <c r="B59" s="96"/>
      <c r="C59" s="35">
        <f t="shared" si="13"/>
        <v>0</v>
      </c>
      <c r="D59" s="35"/>
      <c r="E59" s="35">
        <v>0</v>
      </c>
      <c r="F59" s="35"/>
      <c r="G59" s="35">
        <v>0</v>
      </c>
      <c r="H59" s="35"/>
      <c r="I59" s="35">
        <f t="shared" si="0"/>
        <v>0</v>
      </c>
      <c r="J59" s="35"/>
      <c r="K59" s="35">
        <f t="shared" si="16"/>
        <v>0</v>
      </c>
      <c r="L59" s="35"/>
      <c r="M59" s="35">
        <v>0</v>
      </c>
      <c r="N59" s="35"/>
      <c r="O59" s="35">
        <v>0</v>
      </c>
      <c r="P59" s="35"/>
      <c r="Q59" s="35">
        <v>0</v>
      </c>
      <c r="R59" s="35"/>
      <c r="S59" s="35">
        <v>0</v>
      </c>
      <c r="T59" s="35"/>
      <c r="U59" s="35">
        <f t="shared" si="1"/>
        <v>0</v>
      </c>
      <c r="V59" s="35"/>
      <c r="W59" s="81" t="s">
        <v>134</v>
      </c>
      <c r="X59" s="35"/>
      <c r="Y59" s="35">
        <v>0</v>
      </c>
      <c r="Z59" s="17"/>
      <c r="AA59" s="35">
        <v>0</v>
      </c>
      <c r="AB59" s="17"/>
      <c r="AC59" s="35">
        <v>0</v>
      </c>
      <c r="AD59" s="17"/>
      <c r="AE59" s="35">
        <f t="shared" si="2"/>
        <v>0</v>
      </c>
      <c r="AF59" s="40"/>
      <c r="AG59" s="35">
        <v>0</v>
      </c>
      <c r="AH59" s="40"/>
      <c r="AI59" s="35">
        <v>0</v>
      </c>
      <c r="AJ59" s="17"/>
      <c r="AK59" s="35">
        <v>0</v>
      </c>
      <c r="AL59" s="17"/>
      <c r="AM59" s="35">
        <v>0</v>
      </c>
      <c r="AN59" s="17"/>
      <c r="AO59" s="35">
        <f t="shared" si="3"/>
        <v>0</v>
      </c>
      <c r="AP59" s="40"/>
      <c r="AQ59" s="17">
        <v>0</v>
      </c>
      <c r="AR59" s="17"/>
      <c r="AS59" s="17">
        <v>0</v>
      </c>
      <c r="AT59" s="17"/>
      <c r="AU59" s="35">
        <f t="shared" si="4"/>
        <v>0</v>
      </c>
      <c r="AV59" s="17"/>
      <c r="AW59" s="81" t="s">
        <v>134</v>
      </c>
      <c r="AX59" s="17"/>
      <c r="AY59" s="35">
        <v>0</v>
      </c>
      <c r="AZ59" s="17"/>
      <c r="BA59" s="35">
        <v>0</v>
      </c>
      <c r="BB59" s="17"/>
      <c r="BC59" s="35">
        <v>0</v>
      </c>
      <c r="BD59" s="17"/>
      <c r="BE59" s="35">
        <v>0</v>
      </c>
      <c r="BF59" s="17"/>
      <c r="BG59" s="35">
        <f t="shared" si="15"/>
        <v>0</v>
      </c>
      <c r="BH59" s="79"/>
    </row>
    <row r="60" spans="1:60" ht="12.75" hidden="1">
      <c r="A60" s="77" t="s">
        <v>52</v>
      </c>
      <c r="B60" s="96"/>
      <c r="C60" s="35">
        <f t="shared" si="13"/>
        <v>0</v>
      </c>
      <c r="D60" s="35"/>
      <c r="E60" s="35">
        <v>0</v>
      </c>
      <c r="F60" s="35"/>
      <c r="G60" s="35">
        <v>0</v>
      </c>
      <c r="H60" s="35"/>
      <c r="I60" s="35">
        <f t="shared" si="0"/>
        <v>0</v>
      </c>
      <c r="J60" s="35"/>
      <c r="K60" s="35">
        <f t="shared" si="16"/>
        <v>0</v>
      </c>
      <c r="L60" s="35"/>
      <c r="M60" s="35">
        <v>0</v>
      </c>
      <c r="N60" s="35"/>
      <c r="O60" s="35">
        <v>0</v>
      </c>
      <c r="P60" s="35"/>
      <c r="Q60" s="35">
        <v>0</v>
      </c>
      <c r="R60" s="35"/>
      <c r="S60" s="35">
        <v>0</v>
      </c>
      <c r="T60" s="35"/>
      <c r="U60" s="35">
        <f t="shared" si="1"/>
        <v>0</v>
      </c>
      <c r="V60" s="96"/>
      <c r="W60" s="81" t="s">
        <v>52</v>
      </c>
      <c r="X60" s="96"/>
      <c r="Y60" s="35">
        <v>0</v>
      </c>
      <c r="Z60" s="17"/>
      <c r="AA60" s="35">
        <v>0</v>
      </c>
      <c r="AB60" s="17"/>
      <c r="AC60" s="35">
        <v>0</v>
      </c>
      <c r="AD60" s="17"/>
      <c r="AE60" s="35">
        <f t="shared" si="2"/>
        <v>0</v>
      </c>
      <c r="AF60" s="40"/>
      <c r="AG60" s="35">
        <v>0</v>
      </c>
      <c r="AH60" s="40"/>
      <c r="AI60" s="35">
        <v>0</v>
      </c>
      <c r="AJ60" s="17"/>
      <c r="AK60" s="35">
        <v>0</v>
      </c>
      <c r="AL60" s="17"/>
      <c r="AM60" s="35">
        <v>0</v>
      </c>
      <c r="AN60" s="17"/>
      <c r="AO60" s="35">
        <f t="shared" si="3"/>
        <v>0</v>
      </c>
      <c r="AP60" s="40"/>
      <c r="AQ60" s="17">
        <v>0</v>
      </c>
      <c r="AR60" s="17"/>
      <c r="AS60" s="17">
        <v>0</v>
      </c>
      <c r="AT60" s="17"/>
      <c r="AU60" s="35">
        <f t="shared" si="4"/>
        <v>0</v>
      </c>
      <c r="AV60" s="96"/>
      <c r="AW60" s="81" t="s">
        <v>52</v>
      </c>
      <c r="AX60" s="96"/>
      <c r="AY60" s="35">
        <v>0</v>
      </c>
      <c r="AZ60" s="17"/>
      <c r="BA60" s="35">
        <v>0</v>
      </c>
      <c r="BB60" s="17"/>
      <c r="BC60" s="35">
        <v>0</v>
      </c>
      <c r="BD60" s="17"/>
      <c r="BE60" s="35">
        <v>0</v>
      </c>
      <c r="BF60" s="17"/>
      <c r="BG60" s="35">
        <f t="shared" si="15"/>
        <v>0</v>
      </c>
      <c r="BH60" s="79"/>
    </row>
    <row r="61" spans="1:60" ht="12.75" hidden="1">
      <c r="A61" s="77" t="s">
        <v>53</v>
      </c>
      <c r="B61" s="96"/>
      <c r="C61" s="35">
        <f t="shared" si="13"/>
        <v>0</v>
      </c>
      <c r="D61" s="35"/>
      <c r="E61" s="35">
        <v>0</v>
      </c>
      <c r="F61" s="35"/>
      <c r="G61" s="35">
        <v>0</v>
      </c>
      <c r="H61" s="35"/>
      <c r="I61" s="35">
        <f t="shared" si="0"/>
        <v>0</v>
      </c>
      <c r="J61" s="35"/>
      <c r="K61" s="35">
        <f t="shared" si="16"/>
        <v>0</v>
      </c>
      <c r="L61" s="35"/>
      <c r="M61" s="35">
        <v>0</v>
      </c>
      <c r="N61" s="35"/>
      <c r="O61" s="35">
        <v>0</v>
      </c>
      <c r="P61" s="35"/>
      <c r="Q61" s="35">
        <v>0</v>
      </c>
      <c r="R61" s="35"/>
      <c r="S61" s="35">
        <v>0</v>
      </c>
      <c r="T61" s="35"/>
      <c r="U61" s="35">
        <f t="shared" si="1"/>
        <v>0</v>
      </c>
      <c r="V61" s="35"/>
      <c r="W61" s="81" t="s">
        <v>53</v>
      </c>
      <c r="X61" s="35"/>
      <c r="Y61" s="35">
        <v>0</v>
      </c>
      <c r="Z61" s="17"/>
      <c r="AA61" s="35">
        <v>0</v>
      </c>
      <c r="AB61" s="17"/>
      <c r="AC61" s="35">
        <v>0</v>
      </c>
      <c r="AD61" s="17"/>
      <c r="AE61" s="35">
        <f t="shared" si="2"/>
        <v>0</v>
      </c>
      <c r="AF61" s="40"/>
      <c r="AG61" s="35">
        <v>0</v>
      </c>
      <c r="AH61" s="40"/>
      <c r="AI61" s="35">
        <v>0</v>
      </c>
      <c r="AJ61" s="17"/>
      <c r="AK61" s="35">
        <v>0</v>
      </c>
      <c r="AL61" s="17"/>
      <c r="AM61" s="35">
        <v>0</v>
      </c>
      <c r="AN61" s="17"/>
      <c r="AO61" s="35">
        <f t="shared" si="3"/>
        <v>0</v>
      </c>
      <c r="AP61" s="40"/>
      <c r="AQ61" s="17">
        <v>0</v>
      </c>
      <c r="AR61" s="17"/>
      <c r="AS61" s="17">
        <v>0</v>
      </c>
      <c r="AT61" s="17"/>
      <c r="AU61" s="35">
        <f t="shared" si="4"/>
        <v>0</v>
      </c>
      <c r="AV61" s="17"/>
      <c r="AW61" s="81" t="s">
        <v>53</v>
      </c>
      <c r="AX61" s="17"/>
      <c r="AY61" s="35">
        <v>0</v>
      </c>
      <c r="AZ61" s="17"/>
      <c r="BA61" s="35">
        <v>0</v>
      </c>
      <c r="BB61" s="17"/>
      <c r="BC61" s="35">
        <v>0</v>
      </c>
      <c r="BD61" s="17"/>
      <c r="BE61" s="35">
        <v>0</v>
      </c>
      <c r="BF61" s="17"/>
      <c r="BG61" s="35">
        <f t="shared" si="15"/>
        <v>0</v>
      </c>
      <c r="BH61" s="79"/>
    </row>
    <row r="62" spans="1:60" ht="12.75" hidden="1">
      <c r="A62" s="77" t="s">
        <v>54</v>
      </c>
      <c r="B62" s="96"/>
      <c r="C62" s="35">
        <f t="shared" si="13"/>
        <v>0</v>
      </c>
      <c r="D62" s="35"/>
      <c r="E62" s="35">
        <v>0</v>
      </c>
      <c r="F62" s="35"/>
      <c r="G62" s="35">
        <v>0</v>
      </c>
      <c r="H62" s="35"/>
      <c r="I62" s="35">
        <f t="shared" si="0"/>
        <v>0</v>
      </c>
      <c r="J62" s="35"/>
      <c r="K62" s="35">
        <f t="shared" si="16"/>
        <v>0</v>
      </c>
      <c r="L62" s="35"/>
      <c r="M62" s="35">
        <v>0</v>
      </c>
      <c r="N62" s="35"/>
      <c r="O62" s="35">
        <v>0</v>
      </c>
      <c r="P62" s="35"/>
      <c r="Q62" s="35">
        <v>0</v>
      </c>
      <c r="R62" s="35"/>
      <c r="S62" s="35">
        <v>0</v>
      </c>
      <c r="T62" s="35"/>
      <c r="U62" s="35">
        <f t="shared" si="1"/>
        <v>0</v>
      </c>
      <c r="V62" s="35"/>
      <c r="W62" s="81" t="s">
        <v>54</v>
      </c>
      <c r="X62" s="35"/>
      <c r="Y62" s="35">
        <v>0</v>
      </c>
      <c r="Z62" s="17"/>
      <c r="AA62" s="35">
        <v>0</v>
      </c>
      <c r="AB62" s="17"/>
      <c r="AC62" s="35">
        <v>0</v>
      </c>
      <c r="AD62" s="17"/>
      <c r="AE62" s="35">
        <f t="shared" si="2"/>
        <v>0</v>
      </c>
      <c r="AF62" s="40"/>
      <c r="AG62" s="35">
        <v>0</v>
      </c>
      <c r="AH62" s="40"/>
      <c r="AI62" s="35">
        <v>0</v>
      </c>
      <c r="AJ62" s="17"/>
      <c r="AK62" s="35">
        <v>0</v>
      </c>
      <c r="AL62" s="17"/>
      <c r="AM62" s="35">
        <v>0</v>
      </c>
      <c r="AN62" s="17"/>
      <c r="AO62" s="35">
        <f t="shared" si="3"/>
        <v>0</v>
      </c>
      <c r="AP62" s="40"/>
      <c r="AQ62" s="17">
        <v>0</v>
      </c>
      <c r="AR62" s="17"/>
      <c r="AS62" s="17">
        <v>0</v>
      </c>
      <c r="AT62" s="17"/>
      <c r="AU62" s="35">
        <f t="shared" si="4"/>
        <v>0</v>
      </c>
      <c r="AV62" s="17"/>
      <c r="AW62" s="81" t="s">
        <v>54</v>
      </c>
      <c r="AX62" s="17"/>
      <c r="AY62" s="35">
        <v>0</v>
      </c>
      <c r="AZ62" s="17"/>
      <c r="BA62" s="35">
        <v>0</v>
      </c>
      <c r="BB62" s="17"/>
      <c r="BC62" s="35">
        <v>0</v>
      </c>
      <c r="BD62" s="17"/>
      <c r="BE62" s="35">
        <v>0</v>
      </c>
      <c r="BF62" s="17"/>
      <c r="BG62" s="35">
        <f t="shared" si="15"/>
        <v>0</v>
      </c>
      <c r="BH62" s="79"/>
    </row>
    <row r="63" spans="1:60" ht="12.75">
      <c r="A63" s="77" t="s">
        <v>55</v>
      </c>
      <c r="B63" s="96"/>
      <c r="C63" s="35">
        <f t="shared" si="13"/>
        <v>2625304</v>
      </c>
      <c r="D63" s="35"/>
      <c r="E63" s="35">
        <f>12641210-2625304</f>
        <v>10015906</v>
      </c>
      <c r="F63" s="35"/>
      <c r="G63" s="35">
        <f>7076597+5564613</f>
        <v>12641210</v>
      </c>
      <c r="H63" s="35"/>
      <c r="I63" s="35">
        <v>0</v>
      </c>
      <c r="J63" s="35"/>
      <c r="K63" s="35">
        <f t="shared" si="16"/>
        <v>3966037</v>
      </c>
      <c r="L63" s="35"/>
      <c r="M63" s="35">
        <v>5564613</v>
      </c>
      <c r="N63" s="35"/>
      <c r="O63" s="35">
        <v>4812145</v>
      </c>
      <c r="P63" s="35"/>
      <c r="Q63" s="35">
        <v>0</v>
      </c>
      <c r="R63" s="35"/>
      <c r="S63" s="35">
        <v>2264452</v>
      </c>
      <c r="T63" s="35"/>
      <c r="U63" s="35">
        <f t="shared" si="1"/>
        <v>7076597</v>
      </c>
      <c r="V63" s="35"/>
      <c r="W63" s="81" t="s">
        <v>55</v>
      </c>
      <c r="X63" s="35"/>
      <c r="Y63" s="35">
        <v>7152663</v>
      </c>
      <c r="Z63" s="17"/>
      <c r="AA63" s="35">
        <f>7152663-584955-357919</f>
        <v>6209789</v>
      </c>
      <c r="AB63" s="17"/>
      <c r="AC63" s="35">
        <v>357919</v>
      </c>
      <c r="AD63" s="17"/>
      <c r="AE63" s="35">
        <f t="shared" si="2"/>
        <v>584955</v>
      </c>
      <c r="AF63" s="40"/>
      <c r="AG63" s="35">
        <v>32733</v>
      </c>
      <c r="AH63" s="40"/>
      <c r="AI63" s="35">
        <v>0</v>
      </c>
      <c r="AJ63" s="17"/>
      <c r="AK63" s="35">
        <v>0</v>
      </c>
      <c r="AL63" s="17"/>
      <c r="AM63" s="35">
        <v>0</v>
      </c>
      <c r="AN63" s="17"/>
      <c r="AO63" s="35">
        <f t="shared" si="3"/>
        <v>617688</v>
      </c>
      <c r="AP63" s="40"/>
      <c r="AQ63" s="17">
        <v>0</v>
      </c>
      <c r="AR63" s="17"/>
      <c r="AS63" s="17">
        <v>0</v>
      </c>
      <c r="AT63" s="17"/>
      <c r="AU63" s="35">
        <f t="shared" si="4"/>
        <v>2625304</v>
      </c>
      <c r="AV63" s="17"/>
      <c r="AW63" s="81" t="s">
        <v>55</v>
      </c>
      <c r="AX63" s="17"/>
      <c r="AY63" s="35">
        <v>0</v>
      </c>
      <c r="AZ63" s="17"/>
      <c r="BA63" s="35">
        <v>0</v>
      </c>
      <c r="BB63" s="17"/>
      <c r="BC63" s="35">
        <v>3947819</v>
      </c>
      <c r="BD63" s="17"/>
      <c r="BE63" s="35">
        <v>18218</v>
      </c>
      <c r="BF63" s="17"/>
      <c r="BG63" s="35">
        <f t="shared" si="15"/>
        <v>3966037</v>
      </c>
      <c r="BH63" s="79"/>
    </row>
    <row r="64" spans="1:60" ht="12.75" hidden="1">
      <c r="A64" s="32" t="s">
        <v>171</v>
      </c>
      <c r="B64" s="96"/>
      <c r="C64" s="35">
        <f t="shared" si="13"/>
        <v>0</v>
      </c>
      <c r="D64" s="35"/>
      <c r="E64" s="35">
        <v>0</v>
      </c>
      <c r="F64" s="35"/>
      <c r="G64" s="35">
        <v>0</v>
      </c>
      <c r="H64" s="35"/>
      <c r="I64" s="35">
        <f t="shared" si="0"/>
        <v>0</v>
      </c>
      <c r="J64" s="35"/>
      <c r="K64" s="35">
        <f t="shared" si="16"/>
        <v>0</v>
      </c>
      <c r="L64" s="35"/>
      <c r="M64" s="35">
        <v>0</v>
      </c>
      <c r="N64" s="35"/>
      <c r="O64" s="35">
        <v>0</v>
      </c>
      <c r="P64" s="35"/>
      <c r="Q64" s="35">
        <v>0</v>
      </c>
      <c r="R64" s="35"/>
      <c r="S64" s="35">
        <v>0</v>
      </c>
      <c r="T64" s="35"/>
      <c r="U64" s="35">
        <f t="shared" si="1"/>
        <v>0</v>
      </c>
      <c r="V64" s="96"/>
      <c r="W64" s="24" t="s">
        <v>171</v>
      </c>
      <c r="X64" s="96"/>
      <c r="Y64" s="35">
        <v>0</v>
      </c>
      <c r="Z64" s="17"/>
      <c r="AA64" s="35">
        <v>0</v>
      </c>
      <c r="AB64" s="17"/>
      <c r="AC64" s="35">
        <v>0</v>
      </c>
      <c r="AD64" s="17"/>
      <c r="AE64" s="35">
        <f t="shared" si="2"/>
        <v>0</v>
      </c>
      <c r="AF64" s="40"/>
      <c r="AG64" s="35">
        <v>0</v>
      </c>
      <c r="AH64" s="40"/>
      <c r="AI64" s="35">
        <v>0</v>
      </c>
      <c r="AJ64" s="17"/>
      <c r="AK64" s="35">
        <v>0</v>
      </c>
      <c r="AL64" s="17"/>
      <c r="AM64" s="35">
        <v>0</v>
      </c>
      <c r="AN64" s="17"/>
      <c r="AO64" s="35">
        <f t="shared" si="3"/>
        <v>0</v>
      </c>
      <c r="AP64" s="40"/>
      <c r="AQ64" s="17">
        <v>0</v>
      </c>
      <c r="AR64" s="17"/>
      <c r="AS64" s="17">
        <v>0</v>
      </c>
      <c r="AT64" s="17"/>
      <c r="AU64" s="35">
        <f t="shared" si="4"/>
        <v>0</v>
      </c>
      <c r="AV64" s="96"/>
      <c r="AW64" s="24" t="s">
        <v>171</v>
      </c>
      <c r="AX64" s="96"/>
      <c r="AY64" s="35">
        <v>0</v>
      </c>
      <c r="AZ64" s="17"/>
      <c r="BA64" s="35">
        <v>0</v>
      </c>
      <c r="BB64" s="17"/>
      <c r="BC64" s="35">
        <v>0</v>
      </c>
      <c r="BD64" s="17"/>
      <c r="BE64" s="35">
        <v>0</v>
      </c>
      <c r="BF64" s="17"/>
      <c r="BG64" s="35">
        <f t="shared" si="15"/>
        <v>0</v>
      </c>
      <c r="BH64" s="79"/>
    </row>
    <row r="65" spans="1:60" ht="12.75" hidden="1">
      <c r="A65" s="77" t="s">
        <v>56</v>
      </c>
      <c r="B65" s="96"/>
      <c r="C65" s="35">
        <f t="shared" si="13"/>
        <v>0</v>
      </c>
      <c r="D65" s="35"/>
      <c r="E65" s="35">
        <v>0</v>
      </c>
      <c r="F65" s="35"/>
      <c r="G65" s="35">
        <v>0</v>
      </c>
      <c r="H65" s="35"/>
      <c r="I65" s="35">
        <f t="shared" si="0"/>
        <v>0</v>
      </c>
      <c r="J65" s="35"/>
      <c r="K65" s="35">
        <f t="shared" si="16"/>
        <v>0</v>
      </c>
      <c r="L65" s="35"/>
      <c r="M65" s="35">
        <v>0</v>
      </c>
      <c r="N65" s="35"/>
      <c r="O65" s="35">
        <v>0</v>
      </c>
      <c r="P65" s="35"/>
      <c r="Q65" s="35">
        <v>0</v>
      </c>
      <c r="R65" s="35"/>
      <c r="S65" s="35">
        <v>0</v>
      </c>
      <c r="T65" s="35"/>
      <c r="U65" s="35">
        <f t="shared" si="1"/>
        <v>0</v>
      </c>
      <c r="V65" s="96"/>
      <c r="W65" s="81" t="s">
        <v>56</v>
      </c>
      <c r="X65" s="96"/>
      <c r="Y65" s="35">
        <v>0</v>
      </c>
      <c r="Z65" s="17"/>
      <c r="AA65" s="35">
        <v>0</v>
      </c>
      <c r="AB65" s="17"/>
      <c r="AC65" s="35">
        <v>0</v>
      </c>
      <c r="AD65" s="17"/>
      <c r="AE65" s="35">
        <f t="shared" si="2"/>
        <v>0</v>
      </c>
      <c r="AF65" s="40"/>
      <c r="AG65" s="35">
        <v>0</v>
      </c>
      <c r="AH65" s="40"/>
      <c r="AI65" s="35">
        <v>0</v>
      </c>
      <c r="AJ65" s="17"/>
      <c r="AK65" s="35">
        <v>0</v>
      </c>
      <c r="AL65" s="17"/>
      <c r="AM65" s="35">
        <v>0</v>
      </c>
      <c r="AN65" s="17"/>
      <c r="AO65" s="35">
        <f t="shared" si="3"/>
        <v>0</v>
      </c>
      <c r="AP65" s="40"/>
      <c r="AQ65" s="17">
        <v>0</v>
      </c>
      <c r="AR65" s="17"/>
      <c r="AS65" s="17">
        <v>0</v>
      </c>
      <c r="AT65" s="17"/>
      <c r="AU65" s="35">
        <f t="shared" si="4"/>
        <v>0</v>
      </c>
      <c r="AV65" s="96"/>
      <c r="AW65" s="81" t="s">
        <v>56</v>
      </c>
      <c r="AX65" s="96"/>
      <c r="AY65" s="35">
        <v>0</v>
      </c>
      <c r="AZ65" s="17"/>
      <c r="BA65" s="35">
        <v>0</v>
      </c>
      <c r="BB65" s="17"/>
      <c r="BC65" s="35">
        <v>0</v>
      </c>
      <c r="BD65" s="17"/>
      <c r="BE65" s="35">
        <v>0</v>
      </c>
      <c r="BF65" s="17"/>
      <c r="BG65" s="35">
        <f t="shared" si="15"/>
        <v>0</v>
      </c>
      <c r="BH65" s="79"/>
    </row>
    <row r="66" spans="1:60" ht="12.75" hidden="1">
      <c r="A66" s="77" t="s">
        <v>57</v>
      </c>
      <c r="B66" s="96"/>
      <c r="C66" s="35">
        <f t="shared" si="13"/>
        <v>0</v>
      </c>
      <c r="D66" s="35"/>
      <c r="E66" s="35">
        <v>0</v>
      </c>
      <c r="F66" s="35"/>
      <c r="G66" s="35">
        <v>0</v>
      </c>
      <c r="H66" s="35"/>
      <c r="I66" s="35">
        <f t="shared" si="0"/>
        <v>0</v>
      </c>
      <c r="J66" s="35"/>
      <c r="K66" s="35">
        <f t="shared" si="16"/>
        <v>0</v>
      </c>
      <c r="L66" s="35"/>
      <c r="M66" s="35">
        <v>0</v>
      </c>
      <c r="N66" s="35"/>
      <c r="O66" s="35">
        <v>0</v>
      </c>
      <c r="P66" s="35"/>
      <c r="Q66" s="35">
        <v>0</v>
      </c>
      <c r="R66" s="35"/>
      <c r="S66" s="35">
        <v>0</v>
      </c>
      <c r="T66" s="35"/>
      <c r="U66" s="35">
        <f t="shared" si="1"/>
        <v>0</v>
      </c>
      <c r="V66" s="35"/>
      <c r="W66" s="81" t="s">
        <v>57</v>
      </c>
      <c r="X66" s="35"/>
      <c r="Y66" s="35">
        <v>0</v>
      </c>
      <c r="Z66" s="17"/>
      <c r="AA66" s="35">
        <v>0</v>
      </c>
      <c r="AB66" s="17"/>
      <c r="AC66" s="35">
        <v>0</v>
      </c>
      <c r="AD66" s="17"/>
      <c r="AE66" s="35">
        <f t="shared" si="2"/>
        <v>0</v>
      </c>
      <c r="AF66" s="40"/>
      <c r="AG66" s="35">
        <v>0</v>
      </c>
      <c r="AH66" s="40"/>
      <c r="AI66" s="35">
        <v>0</v>
      </c>
      <c r="AJ66" s="17"/>
      <c r="AK66" s="35">
        <v>0</v>
      </c>
      <c r="AL66" s="17"/>
      <c r="AM66" s="35">
        <v>0</v>
      </c>
      <c r="AN66" s="17"/>
      <c r="AO66" s="35">
        <f t="shared" si="3"/>
        <v>0</v>
      </c>
      <c r="AP66" s="40"/>
      <c r="AQ66" s="17">
        <v>0</v>
      </c>
      <c r="AR66" s="17"/>
      <c r="AS66" s="17">
        <v>0</v>
      </c>
      <c r="AT66" s="17"/>
      <c r="AU66" s="35">
        <f t="shared" si="4"/>
        <v>0</v>
      </c>
      <c r="AV66" s="17"/>
      <c r="AW66" s="81" t="s">
        <v>57</v>
      </c>
      <c r="AX66" s="17"/>
      <c r="AY66" s="35">
        <v>0</v>
      </c>
      <c r="AZ66" s="17"/>
      <c r="BA66" s="35">
        <v>0</v>
      </c>
      <c r="BB66" s="17"/>
      <c r="BC66" s="35">
        <v>0</v>
      </c>
      <c r="BD66" s="17"/>
      <c r="BE66" s="35">
        <v>0</v>
      </c>
      <c r="BF66" s="17"/>
      <c r="BG66" s="35">
        <f t="shared" si="15"/>
        <v>0</v>
      </c>
      <c r="BH66" s="79"/>
    </row>
    <row r="67" spans="1:60" ht="12.75" hidden="1">
      <c r="A67" s="77" t="s">
        <v>58</v>
      </c>
      <c r="B67" s="96"/>
      <c r="C67" s="35">
        <f t="shared" si="13"/>
        <v>0</v>
      </c>
      <c r="D67" s="35"/>
      <c r="E67" s="35">
        <v>0</v>
      </c>
      <c r="F67" s="35"/>
      <c r="G67" s="35">
        <v>0</v>
      </c>
      <c r="H67" s="35"/>
      <c r="I67" s="35">
        <f t="shared" si="0"/>
        <v>0</v>
      </c>
      <c r="J67" s="35"/>
      <c r="K67" s="35">
        <f t="shared" si="16"/>
        <v>0</v>
      </c>
      <c r="L67" s="35"/>
      <c r="M67" s="35">
        <v>0</v>
      </c>
      <c r="N67" s="35"/>
      <c r="O67" s="35">
        <v>0</v>
      </c>
      <c r="P67" s="35"/>
      <c r="Q67" s="35">
        <v>0</v>
      </c>
      <c r="R67" s="35"/>
      <c r="S67" s="35">
        <v>0</v>
      </c>
      <c r="T67" s="35"/>
      <c r="U67" s="35">
        <f t="shared" si="1"/>
        <v>0</v>
      </c>
      <c r="V67" s="35"/>
      <c r="W67" s="81" t="s">
        <v>58</v>
      </c>
      <c r="X67" s="35"/>
      <c r="Y67" s="35">
        <v>0</v>
      </c>
      <c r="Z67" s="17"/>
      <c r="AA67" s="35">
        <v>0</v>
      </c>
      <c r="AB67" s="17"/>
      <c r="AC67" s="35">
        <v>0</v>
      </c>
      <c r="AD67" s="17"/>
      <c r="AE67" s="35">
        <f t="shared" si="2"/>
        <v>0</v>
      </c>
      <c r="AF67" s="40"/>
      <c r="AG67" s="35">
        <v>0</v>
      </c>
      <c r="AH67" s="40"/>
      <c r="AI67" s="35">
        <v>0</v>
      </c>
      <c r="AJ67" s="17"/>
      <c r="AK67" s="35">
        <v>0</v>
      </c>
      <c r="AL67" s="17"/>
      <c r="AM67" s="35">
        <v>0</v>
      </c>
      <c r="AN67" s="17"/>
      <c r="AO67" s="35">
        <f t="shared" si="3"/>
        <v>0</v>
      </c>
      <c r="AP67" s="40"/>
      <c r="AQ67" s="17">
        <v>0</v>
      </c>
      <c r="AR67" s="17"/>
      <c r="AS67" s="17">
        <v>0</v>
      </c>
      <c r="AT67" s="17"/>
      <c r="AU67" s="35">
        <f t="shared" si="4"/>
        <v>0</v>
      </c>
      <c r="AV67" s="17"/>
      <c r="AW67" s="81" t="s">
        <v>58</v>
      </c>
      <c r="AX67" s="17"/>
      <c r="AY67" s="35">
        <v>0</v>
      </c>
      <c r="AZ67" s="17"/>
      <c r="BA67" s="35">
        <v>0</v>
      </c>
      <c r="BB67" s="17"/>
      <c r="BC67" s="35">
        <v>0</v>
      </c>
      <c r="BD67" s="17"/>
      <c r="BE67" s="35">
        <v>0</v>
      </c>
      <c r="BF67" s="17"/>
      <c r="BG67" s="35">
        <f t="shared" si="15"/>
        <v>0</v>
      </c>
      <c r="BH67" s="79"/>
    </row>
    <row r="68" spans="1:60" ht="12.75">
      <c r="A68" s="77" t="s">
        <v>59</v>
      </c>
      <c r="B68" s="96"/>
      <c r="C68" s="35">
        <f t="shared" si="13"/>
        <v>42356490</v>
      </c>
      <c r="D68" s="35"/>
      <c r="E68" s="35">
        <v>50335699</v>
      </c>
      <c r="F68" s="35"/>
      <c r="G68" s="35">
        <v>92692189</v>
      </c>
      <c r="H68" s="35"/>
      <c r="I68" s="35">
        <f t="shared" si="0"/>
        <v>7317533</v>
      </c>
      <c r="J68" s="35"/>
      <c r="K68" s="35">
        <f t="shared" si="16"/>
        <v>12638282</v>
      </c>
      <c r="L68" s="35"/>
      <c r="M68" s="35">
        <v>19955815</v>
      </c>
      <c r="N68" s="35"/>
      <c r="O68" s="35">
        <v>38379487</v>
      </c>
      <c r="P68" s="35"/>
      <c r="Q68" s="35">
        <f>7284695+1608227</f>
        <v>8892922</v>
      </c>
      <c r="R68" s="35"/>
      <c r="S68" s="35">
        <v>25463965</v>
      </c>
      <c r="T68" s="35"/>
      <c r="U68" s="35">
        <f t="shared" si="1"/>
        <v>72736374</v>
      </c>
      <c r="V68" s="35"/>
      <c r="W68" s="81" t="s">
        <v>59</v>
      </c>
      <c r="X68" s="35"/>
      <c r="Y68" s="35">
        <v>22708381</v>
      </c>
      <c r="Z68" s="17"/>
      <c r="AA68" s="35">
        <f>16623464-2123856</f>
        <v>14499608</v>
      </c>
      <c r="AB68" s="17"/>
      <c r="AC68" s="35">
        <v>2123856</v>
      </c>
      <c r="AD68" s="17"/>
      <c r="AE68" s="35">
        <f t="shared" si="2"/>
        <v>6084917</v>
      </c>
      <c r="AF68" s="40"/>
      <c r="AG68" s="35">
        <v>-704688</v>
      </c>
      <c r="AH68" s="40"/>
      <c r="AI68" s="35">
        <v>1055128</v>
      </c>
      <c r="AJ68" s="17"/>
      <c r="AK68" s="35">
        <v>0</v>
      </c>
      <c r="AL68" s="17"/>
      <c r="AM68" s="35">
        <v>0</v>
      </c>
      <c r="AN68" s="17"/>
      <c r="AO68" s="35">
        <f t="shared" si="3"/>
        <v>6435357</v>
      </c>
      <c r="AP68" s="40"/>
      <c r="AQ68" s="17">
        <v>0</v>
      </c>
      <c r="AR68" s="17"/>
      <c r="AS68" s="17">
        <v>0</v>
      </c>
      <c r="AT68" s="17"/>
      <c r="AU68" s="35">
        <f t="shared" si="4"/>
        <v>35038957</v>
      </c>
      <c r="AV68" s="17"/>
      <c r="AW68" s="81" t="s">
        <v>59</v>
      </c>
      <c r="AX68" s="17"/>
      <c r="AY68" s="35">
        <v>0</v>
      </c>
      <c r="AZ68" s="17"/>
      <c r="BA68" s="35">
        <f>12380000-852788</f>
        <v>11527212</v>
      </c>
      <c r="BB68" s="17"/>
      <c r="BC68" s="35">
        <v>0</v>
      </c>
      <c r="BD68" s="17"/>
      <c r="BE68" s="35">
        <f>286000+302865+522205</f>
        <v>1111070</v>
      </c>
      <c r="BF68" s="17"/>
      <c r="BG68" s="35">
        <f t="shared" si="15"/>
        <v>12638282</v>
      </c>
      <c r="BH68" s="79"/>
    </row>
    <row r="69" spans="1:60" ht="12.75" hidden="1">
      <c r="A69" s="77" t="s">
        <v>60</v>
      </c>
      <c r="B69" s="96"/>
      <c r="C69" s="35">
        <f t="shared" si="13"/>
        <v>0</v>
      </c>
      <c r="D69" s="35"/>
      <c r="E69" s="35">
        <v>0</v>
      </c>
      <c r="F69" s="35"/>
      <c r="G69" s="35">
        <v>0</v>
      </c>
      <c r="H69" s="35"/>
      <c r="I69" s="35">
        <f t="shared" si="0"/>
        <v>0</v>
      </c>
      <c r="J69" s="35"/>
      <c r="K69" s="35">
        <f t="shared" si="16"/>
        <v>0</v>
      </c>
      <c r="L69" s="35"/>
      <c r="M69" s="35">
        <v>0</v>
      </c>
      <c r="N69" s="35"/>
      <c r="O69" s="35">
        <v>0</v>
      </c>
      <c r="P69" s="35"/>
      <c r="Q69" s="35">
        <v>0</v>
      </c>
      <c r="R69" s="35"/>
      <c r="S69" s="35">
        <v>0</v>
      </c>
      <c r="T69" s="35"/>
      <c r="U69" s="35">
        <f t="shared" si="1"/>
        <v>0</v>
      </c>
      <c r="V69" s="35"/>
      <c r="W69" s="81" t="s">
        <v>60</v>
      </c>
      <c r="X69" s="35"/>
      <c r="Y69" s="35">
        <v>0</v>
      </c>
      <c r="Z69" s="17"/>
      <c r="AA69" s="35">
        <v>0</v>
      </c>
      <c r="AB69" s="17"/>
      <c r="AC69" s="35">
        <v>0</v>
      </c>
      <c r="AD69" s="17"/>
      <c r="AE69" s="35">
        <f t="shared" si="2"/>
        <v>0</v>
      </c>
      <c r="AF69" s="40"/>
      <c r="AG69" s="35">
        <v>0</v>
      </c>
      <c r="AH69" s="40"/>
      <c r="AI69" s="35">
        <v>0</v>
      </c>
      <c r="AJ69" s="17"/>
      <c r="AK69" s="35">
        <v>0</v>
      </c>
      <c r="AL69" s="17"/>
      <c r="AM69" s="35">
        <v>0</v>
      </c>
      <c r="AN69" s="17"/>
      <c r="AO69" s="35">
        <f t="shared" si="3"/>
        <v>0</v>
      </c>
      <c r="AP69" s="40"/>
      <c r="AQ69" s="17">
        <v>0</v>
      </c>
      <c r="AR69" s="17"/>
      <c r="AS69" s="17">
        <v>0</v>
      </c>
      <c r="AT69" s="17"/>
      <c r="AU69" s="35">
        <f t="shared" si="4"/>
        <v>0</v>
      </c>
      <c r="AV69" s="17"/>
      <c r="AW69" s="81" t="s">
        <v>60</v>
      </c>
      <c r="AX69" s="17"/>
      <c r="AY69" s="35">
        <v>0</v>
      </c>
      <c r="AZ69" s="17"/>
      <c r="BA69" s="35">
        <v>0</v>
      </c>
      <c r="BB69" s="17"/>
      <c r="BC69" s="35">
        <v>0</v>
      </c>
      <c r="BD69" s="17"/>
      <c r="BE69" s="35">
        <v>0</v>
      </c>
      <c r="BF69" s="17"/>
      <c r="BG69" s="35">
        <f t="shared" si="15"/>
        <v>0</v>
      </c>
      <c r="BH69" s="79"/>
    </row>
    <row r="70" spans="1:60" ht="12.75" hidden="1">
      <c r="A70" s="77" t="s">
        <v>97</v>
      </c>
      <c r="B70" s="96"/>
      <c r="C70" s="35">
        <f t="shared" si="13"/>
        <v>0</v>
      </c>
      <c r="D70" s="35"/>
      <c r="E70" s="35">
        <v>0</v>
      </c>
      <c r="F70" s="35"/>
      <c r="G70" s="35">
        <v>0</v>
      </c>
      <c r="H70" s="35"/>
      <c r="I70" s="35">
        <f t="shared" si="0"/>
        <v>0</v>
      </c>
      <c r="J70" s="35"/>
      <c r="K70" s="35">
        <f t="shared" si="16"/>
        <v>0</v>
      </c>
      <c r="L70" s="35"/>
      <c r="M70" s="35">
        <v>0</v>
      </c>
      <c r="N70" s="35"/>
      <c r="O70" s="35">
        <v>0</v>
      </c>
      <c r="P70" s="35"/>
      <c r="Q70" s="35">
        <v>0</v>
      </c>
      <c r="R70" s="35"/>
      <c r="S70" s="35">
        <v>0</v>
      </c>
      <c r="T70" s="35"/>
      <c r="U70" s="35">
        <f t="shared" si="1"/>
        <v>0</v>
      </c>
      <c r="V70" s="35"/>
      <c r="W70" s="81" t="s">
        <v>97</v>
      </c>
      <c r="X70" s="35"/>
      <c r="Y70" s="35">
        <v>0</v>
      </c>
      <c r="Z70" s="17"/>
      <c r="AA70" s="35">
        <v>0</v>
      </c>
      <c r="AB70" s="17"/>
      <c r="AC70" s="35">
        <v>0</v>
      </c>
      <c r="AD70" s="17"/>
      <c r="AE70" s="35">
        <f t="shared" si="2"/>
        <v>0</v>
      </c>
      <c r="AF70" s="40"/>
      <c r="AG70" s="35">
        <v>0</v>
      </c>
      <c r="AH70" s="40"/>
      <c r="AI70" s="35">
        <v>0</v>
      </c>
      <c r="AJ70" s="17"/>
      <c r="AK70" s="35">
        <v>0</v>
      </c>
      <c r="AL70" s="17"/>
      <c r="AM70" s="35">
        <v>0</v>
      </c>
      <c r="AN70" s="17"/>
      <c r="AO70" s="35">
        <f t="shared" si="3"/>
        <v>0</v>
      </c>
      <c r="AP70" s="40"/>
      <c r="AQ70" s="17">
        <v>0</v>
      </c>
      <c r="AR70" s="17"/>
      <c r="AS70" s="17">
        <v>0</v>
      </c>
      <c r="AT70" s="17"/>
      <c r="AU70" s="35">
        <f t="shared" si="4"/>
        <v>0</v>
      </c>
      <c r="AV70" s="17"/>
      <c r="AW70" s="81" t="s">
        <v>97</v>
      </c>
      <c r="AX70" s="17"/>
      <c r="AY70" s="35">
        <v>0</v>
      </c>
      <c r="AZ70" s="17"/>
      <c r="BA70" s="35">
        <v>0</v>
      </c>
      <c r="BB70" s="17"/>
      <c r="BC70" s="35">
        <v>0</v>
      </c>
      <c r="BD70" s="17"/>
      <c r="BE70" s="35">
        <v>0</v>
      </c>
      <c r="BF70" s="17"/>
      <c r="BG70" s="35">
        <f t="shared" si="15"/>
        <v>0</v>
      </c>
      <c r="BH70" s="79"/>
    </row>
    <row r="71" spans="1:60" ht="12.75" hidden="1">
      <c r="A71" s="77" t="s">
        <v>61</v>
      </c>
      <c r="B71" s="96"/>
      <c r="C71" s="35">
        <f t="shared" si="13"/>
        <v>0</v>
      </c>
      <c r="D71" s="35"/>
      <c r="E71" s="35">
        <v>0</v>
      </c>
      <c r="F71" s="35"/>
      <c r="G71" s="35">
        <v>0</v>
      </c>
      <c r="H71" s="35"/>
      <c r="I71" s="35">
        <f t="shared" si="0"/>
        <v>0</v>
      </c>
      <c r="J71" s="35"/>
      <c r="K71" s="35">
        <f t="shared" si="16"/>
        <v>0</v>
      </c>
      <c r="L71" s="35"/>
      <c r="M71" s="35">
        <v>0</v>
      </c>
      <c r="N71" s="35"/>
      <c r="O71" s="35">
        <v>0</v>
      </c>
      <c r="P71" s="35"/>
      <c r="Q71" s="35">
        <v>0</v>
      </c>
      <c r="R71" s="35"/>
      <c r="S71" s="35">
        <v>0</v>
      </c>
      <c r="T71" s="35"/>
      <c r="U71" s="35">
        <f t="shared" si="1"/>
        <v>0</v>
      </c>
      <c r="V71" s="96"/>
      <c r="W71" s="81" t="s">
        <v>61</v>
      </c>
      <c r="X71" s="96"/>
      <c r="Y71" s="35">
        <v>0</v>
      </c>
      <c r="Z71" s="17"/>
      <c r="AA71" s="35">
        <v>0</v>
      </c>
      <c r="AB71" s="17"/>
      <c r="AC71" s="35">
        <v>0</v>
      </c>
      <c r="AD71" s="17"/>
      <c r="AE71" s="35">
        <f t="shared" si="2"/>
        <v>0</v>
      </c>
      <c r="AF71" s="40"/>
      <c r="AG71" s="35">
        <v>0</v>
      </c>
      <c r="AH71" s="40"/>
      <c r="AI71" s="35">
        <v>0</v>
      </c>
      <c r="AJ71" s="17"/>
      <c r="AK71" s="35">
        <v>0</v>
      </c>
      <c r="AL71" s="17"/>
      <c r="AM71" s="35">
        <v>0</v>
      </c>
      <c r="AN71" s="17"/>
      <c r="AO71" s="35">
        <f t="shared" si="3"/>
        <v>0</v>
      </c>
      <c r="AP71" s="40"/>
      <c r="AQ71" s="17">
        <v>0</v>
      </c>
      <c r="AR71" s="17"/>
      <c r="AS71" s="17">
        <v>0</v>
      </c>
      <c r="AT71" s="17"/>
      <c r="AU71" s="35">
        <f t="shared" si="4"/>
        <v>0</v>
      </c>
      <c r="AV71" s="96"/>
      <c r="AW71" s="81" t="s">
        <v>61</v>
      </c>
      <c r="AX71" s="96"/>
      <c r="AY71" s="35">
        <v>0</v>
      </c>
      <c r="AZ71" s="17"/>
      <c r="BA71" s="35">
        <v>0</v>
      </c>
      <c r="BB71" s="17"/>
      <c r="BC71" s="35">
        <v>0</v>
      </c>
      <c r="BD71" s="17"/>
      <c r="BE71" s="35">
        <v>0</v>
      </c>
      <c r="BF71" s="17"/>
      <c r="BG71" s="35">
        <f t="shared" si="15"/>
        <v>0</v>
      </c>
      <c r="BH71" s="79"/>
    </row>
    <row r="72" spans="1:60" ht="12.75" hidden="1">
      <c r="A72" s="77" t="s">
        <v>62</v>
      </c>
      <c r="B72" s="96"/>
      <c r="C72" s="35">
        <f t="shared" si="13"/>
        <v>0</v>
      </c>
      <c r="D72" s="35"/>
      <c r="E72" s="35">
        <v>0</v>
      </c>
      <c r="F72" s="35"/>
      <c r="G72" s="35">
        <v>0</v>
      </c>
      <c r="H72" s="35"/>
      <c r="I72" s="35">
        <f t="shared" si="0"/>
        <v>0</v>
      </c>
      <c r="J72" s="35"/>
      <c r="K72" s="35">
        <f t="shared" si="16"/>
        <v>0</v>
      </c>
      <c r="L72" s="35"/>
      <c r="M72" s="35">
        <v>0</v>
      </c>
      <c r="N72" s="35"/>
      <c r="O72" s="35">
        <v>0</v>
      </c>
      <c r="P72" s="35"/>
      <c r="Q72" s="35">
        <v>0</v>
      </c>
      <c r="R72" s="35"/>
      <c r="S72" s="35">
        <v>0</v>
      </c>
      <c r="T72" s="35"/>
      <c r="U72" s="35">
        <f t="shared" si="1"/>
        <v>0</v>
      </c>
      <c r="V72" s="96"/>
      <c r="W72" s="81" t="s">
        <v>62</v>
      </c>
      <c r="X72" s="96"/>
      <c r="Y72" s="35">
        <v>0</v>
      </c>
      <c r="Z72" s="17"/>
      <c r="AA72" s="35">
        <v>0</v>
      </c>
      <c r="AB72" s="17"/>
      <c r="AC72" s="35">
        <v>0</v>
      </c>
      <c r="AD72" s="17"/>
      <c r="AE72" s="35">
        <f t="shared" si="2"/>
        <v>0</v>
      </c>
      <c r="AF72" s="40"/>
      <c r="AG72" s="35">
        <v>0</v>
      </c>
      <c r="AH72" s="40"/>
      <c r="AI72" s="35">
        <v>0</v>
      </c>
      <c r="AJ72" s="17"/>
      <c r="AK72" s="35">
        <v>0</v>
      </c>
      <c r="AL72" s="17"/>
      <c r="AM72" s="35">
        <v>0</v>
      </c>
      <c r="AN72" s="17"/>
      <c r="AO72" s="35">
        <f t="shared" si="3"/>
        <v>0</v>
      </c>
      <c r="AP72" s="40"/>
      <c r="AQ72" s="17">
        <v>0</v>
      </c>
      <c r="AR72" s="17"/>
      <c r="AS72" s="17">
        <v>0</v>
      </c>
      <c r="AT72" s="17"/>
      <c r="AU72" s="35">
        <f t="shared" si="4"/>
        <v>0</v>
      </c>
      <c r="AV72" s="96"/>
      <c r="AW72" s="81" t="s">
        <v>62</v>
      </c>
      <c r="AX72" s="96"/>
      <c r="AY72" s="35">
        <v>0</v>
      </c>
      <c r="AZ72" s="17"/>
      <c r="BA72" s="35">
        <v>0</v>
      </c>
      <c r="BB72" s="17"/>
      <c r="BC72" s="35">
        <v>0</v>
      </c>
      <c r="BD72" s="17"/>
      <c r="BE72" s="35">
        <v>0</v>
      </c>
      <c r="BF72" s="17"/>
      <c r="BG72" s="35">
        <f t="shared" si="15"/>
        <v>0</v>
      </c>
      <c r="BH72" s="79"/>
    </row>
    <row r="73" spans="1:60" ht="12.75" hidden="1">
      <c r="A73" s="77" t="s">
        <v>63</v>
      </c>
      <c r="B73" s="96"/>
      <c r="C73" s="35">
        <f t="shared" si="13"/>
        <v>0</v>
      </c>
      <c r="D73" s="35"/>
      <c r="E73" s="35">
        <v>0</v>
      </c>
      <c r="F73" s="35"/>
      <c r="G73" s="35">
        <v>0</v>
      </c>
      <c r="H73" s="35"/>
      <c r="I73" s="35">
        <f t="shared" si="0"/>
        <v>0</v>
      </c>
      <c r="J73" s="35"/>
      <c r="K73" s="35">
        <f t="shared" si="16"/>
        <v>0</v>
      </c>
      <c r="L73" s="35"/>
      <c r="M73" s="35">
        <v>0</v>
      </c>
      <c r="N73" s="35"/>
      <c r="O73" s="35">
        <v>0</v>
      </c>
      <c r="P73" s="35"/>
      <c r="Q73" s="35">
        <v>0</v>
      </c>
      <c r="R73" s="35"/>
      <c r="S73" s="35">
        <v>0</v>
      </c>
      <c r="T73" s="35"/>
      <c r="U73" s="35">
        <f t="shared" si="1"/>
        <v>0</v>
      </c>
      <c r="V73" s="96"/>
      <c r="W73" s="81" t="s">
        <v>63</v>
      </c>
      <c r="X73" s="96"/>
      <c r="Y73" s="35">
        <v>0</v>
      </c>
      <c r="Z73" s="17"/>
      <c r="AA73" s="35">
        <v>0</v>
      </c>
      <c r="AB73" s="17"/>
      <c r="AC73" s="35">
        <v>0</v>
      </c>
      <c r="AD73" s="17"/>
      <c r="AE73" s="35">
        <f t="shared" si="2"/>
        <v>0</v>
      </c>
      <c r="AF73" s="40"/>
      <c r="AG73" s="35">
        <v>0</v>
      </c>
      <c r="AH73" s="40"/>
      <c r="AI73" s="35">
        <v>0</v>
      </c>
      <c r="AJ73" s="17"/>
      <c r="AK73" s="35">
        <v>0</v>
      </c>
      <c r="AL73" s="17"/>
      <c r="AM73" s="35">
        <v>0</v>
      </c>
      <c r="AN73" s="17"/>
      <c r="AO73" s="35">
        <f t="shared" si="3"/>
        <v>0</v>
      </c>
      <c r="AP73" s="40"/>
      <c r="AQ73" s="17">
        <v>0</v>
      </c>
      <c r="AR73" s="17"/>
      <c r="AS73" s="17">
        <v>0</v>
      </c>
      <c r="AT73" s="17"/>
      <c r="AU73" s="35">
        <f t="shared" si="4"/>
        <v>0</v>
      </c>
      <c r="AV73" s="96"/>
      <c r="AW73" s="81" t="s">
        <v>63</v>
      </c>
      <c r="AX73" s="96"/>
      <c r="AY73" s="35">
        <v>0</v>
      </c>
      <c r="AZ73" s="17"/>
      <c r="BA73" s="35">
        <v>0</v>
      </c>
      <c r="BB73" s="17"/>
      <c r="BC73" s="35">
        <v>0</v>
      </c>
      <c r="BD73" s="17"/>
      <c r="BE73" s="35">
        <v>0</v>
      </c>
      <c r="BF73" s="17"/>
      <c r="BG73" s="35">
        <f t="shared" si="15"/>
        <v>0</v>
      </c>
      <c r="BH73" s="79"/>
    </row>
    <row r="74" spans="1:60" ht="12.75" hidden="1">
      <c r="A74" s="77" t="s">
        <v>132</v>
      </c>
      <c r="B74" s="96"/>
      <c r="C74" s="35">
        <f t="shared" si="13"/>
        <v>0</v>
      </c>
      <c r="D74" s="35"/>
      <c r="E74" s="35">
        <v>0</v>
      </c>
      <c r="F74" s="35"/>
      <c r="G74" s="35">
        <v>0</v>
      </c>
      <c r="H74" s="35"/>
      <c r="I74" s="35">
        <f t="shared" si="0"/>
        <v>0</v>
      </c>
      <c r="J74" s="35"/>
      <c r="K74" s="35">
        <f t="shared" si="16"/>
        <v>0</v>
      </c>
      <c r="L74" s="35"/>
      <c r="M74" s="35">
        <v>0</v>
      </c>
      <c r="N74" s="35"/>
      <c r="O74" s="35">
        <v>0</v>
      </c>
      <c r="P74" s="35"/>
      <c r="Q74" s="35">
        <v>0</v>
      </c>
      <c r="R74" s="35"/>
      <c r="S74" s="35">
        <v>0</v>
      </c>
      <c r="T74" s="35"/>
      <c r="U74" s="35">
        <f t="shared" si="1"/>
        <v>0</v>
      </c>
      <c r="V74" s="96"/>
      <c r="W74" s="81" t="s">
        <v>132</v>
      </c>
      <c r="X74" s="96"/>
      <c r="Y74" s="35">
        <v>0</v>
      </c>
      <c r="Z74" s="17"/>
      <c r="AA74" s="35">
        <v>0</v>
      </c>
      <c r="AB74" s="17"/>
      <c r="AC74" s="35">
        <v>0</v>
      </c>
      <c r="AD74" s="17"/>
      <c r="AE74" s="35">
        <f t="shared" si="2"/>
        <v>0</v>
      </c>
      <c r="AF74" s="40"/>
      <c r="AG74" s="35">
        <v>0</v>
      </c>
      <c r="AH74" s="40"/>
      <c r="AI74" s="35">
        <v>0</v>
      </c>
      <c r="AJ74" s="17"/>
      <c r="AK74" s="35">
        <v>0</v>
      </c>
      <c r="AL74" s="17"/>
      <c r="AM74" s="35">
        <v>0</v>
      </c>
      <c r="AN74" s="17"/>
      <c r="AO74" s="35">
        <f t="shared" si="3"/>
        <v>0</v>
      </c>
      <c r="AP74" s="40"/>
      <c r="AQ74" s="17">
        <v>0</v>
      </c>
      <c r="AR74" s="17"/>
      <c r="AS74" s="17">
        <v>0</v>
      </c>
      <c r="AT74" s="17"/>
      <c r="AU74" s="35">
        <f t="shared" si="4"/>
        <v>0</v>
      </c>
      <c r="AV74" s="96"/>
      <c r="AW74" s="81" t="s">
        <v>132</v>
      </c>
      <c r="AX74" s="96"/>
      <c r="AY74" s="35">
        <v>0</v>
      </c>
      <c r="AZ74" s="17"/>
      <c r="BA74" s="35">
        <v>0</v>
      </c>
      <c r="BB74" s="17"/>
      <c r="BC74" s="35">
        <v>0</v>
      </c>
      <c r="BD74" s="17"/>
      <c r="BE74" s="35">
        <v>0</v>
      </c>
      <c r="BF74" s="17"/>
      <c r="BG74" s="35">
        <f t="shared" si="15"/>
        <v>0</v>
      </c>
      <c r="BH74" s="79"/>
    </row>
    <row r="75" spans="1:60" ht="12.75" hidden="1">
      <c r="A75" s="77" t="s">
        <v>64</v>
      </c>
      <c r="B75" s="96"/>
      <c r="C75" s="35">
        <f t="shared" si="13"/>
        <v>0</v>
      </c>
      <c r="D75" s="35"/>
      <c r="E75" s="35">
        <v>0</v>
      </c>
      <c r="F75" s="35"/>
      <c r="G75" s="35">
        <v>0</v>
      </c>
      <c r="H75" s="35"/>
      <c r="I75" s="35">
        <f t="shared" si="0"/>
        <v>0</v>
      </c>
      <c r="J75" s="35"/>
      <c r="K75" s="35">
        <f t="shared" si="16"/>
        <v>0</v>
      </c>
      <c r="L75" s="35"/>
      <c r="M75" s="35">
        <v>0</v>
      </c>
      <c r="N75" s="35"/>
      <c r="O75" s="35">
        <v>0</v>
      </c>
      <c r="P75" s="35"/>
      <c r="Q75" s="35">
        <v>0</v>
      </c>
      <c r="R75" s="35"/>
      <c r="S75" s="35">
        <v>0</v>
      </c>
      <c r="T75" s="35"/>
      <c r="U75" s="35">
        <f t="shared" si="1"/>
        <v>0</v>
      </c>
      <c r="V75" s="96"/>
      <c r="W75" s="81" t="s">
        <v>64</v>
      </c>
      <c r="X75" s="96"/>
      <c r="Y75" s="35">
        <v>0</v>
      </c>
      <c r="Z75" s="17"/>
      <c r="AA75" s="35">
        <v>0</v>
      </c>
      <c r="AB75" s="17"/>
      <c r="AC75" s="35">
        <v>0</v>
      </c>
      <c r="AD75" s="17"/>
      <c r="AE75" s="35">
        <f t="shared" si="2"/>
        <v>0</v>
      </c>
      <c r="AF75" s="40"/>
      <c r="AG75" s="35">
        <v>0</v>
      </c>
      <c r="AH75" s="40"/>
      <c r="AI75" s="35">
        <v>0</v>
      </c>
      <c r="AJ75" s="17"/>
      <c r="AK75" s="35">
        <v>0</v>
      </c>
      <c r="AL75" s="17"/>
      <c r="AM75" s="35">
        <v>0</v>
      </c>
      <c r="AN75" s="17"/>
      <c r="AO75" s="35">
        <f t="shared" si="3"/>
        <v>0</v>
      </c>
      <c r="AP75" s="40"/>
      <c r="AQ75" s="17">
        <v>0</v>
      </c>
      <c r="AR75" s="17"/>
      <c r="AS75" s="17">
        <v>0</v>
      </c>
      <c r="AT75" s="17"/>
      <c r="AU75" s="35">
        <f t="shared" si="4"/>
        <v>0</v>
      </c>
      <c r="AV75" s="96"/>
      <c r="AW75" s="81" t="s">
        <v>64</v>
      </c>
      <c r="AX75" s="96"/>
      <c r="AY75" s="35">
        <v>0</v>
      </c>
      <c r="AZ75" s="17"/>
      <c r="BA75" s="35">
        <v>0</v>
      </c>
      <c r="BB75" s="17"/>
      <c r="BC75" s="35">
        <v>0</v>
      </c>
      <c r="BD75" s="17"/>
      <c r="BE75" s="35">
        <v>0</v>
      </c>
      <c r="BF75" s="17"/>
      <c r="BG75" s="35">
        <f t="shared" si="15"/>
        <v>0</v>
      </c>
      <c r="BH75" s="79"/>
    </row>
    <row r="76" spans="1:60" ht="12.75" hidden="1">
      <c r="A76" s="77" t="s">
        <v>65</v>
      </c>
      <c r="B76" s="96"/>
      <c r="C76" s="35">
        <f t="shared" si="13"/>
        <v>0</v>
      </c>
      <c r="D76" s="35"/>
      <c r="E76" s="35">
        <v>0</v>
      </c>
      <c r="F76" s="35"/>
      <c r="G76" s="35">
        <v>0</v>
      </c>
      <c r="H76" s="35"/>
      <c r="I76" s="35">
        <f t="shared" si="0"/>
        <v>0</v>
      </c>
      <c r="J76" s="35"/>
      <c r="K76" s="35">
        <f t="shared" si="16"/>
        <v>0</v>
      </c>
      <c r="L76" s="35"/>
      <c r="M76" s="35">
        <v>0</v>
      </c>
      <c r="N76" s="35"/>
      <c r="O76" s="35">
        <v>0</v>
      </c>
      <c r="P76" s="35"/>
      <c r="Q76" s="35">
        <v>0</v>
      </c>
      <c r="R76" s="35"/>
      <c r="S76" s="35">
        <v>0</v>
      </c>
      <c r="T76" s="35"/>
      <c r="U76" s="35">
        <f t="shared" si="1"/>
        <v>0</v>
      </c>
      <c r="V76" s="96"/>
      <c r="W76" s="81" t="s">
        <v>65</v>
      </c>
      <c r="X76" s="96"/>
      <c r="Y76" s="35">
        <v>0</v>
      </c>
      <c r="Z76" s="17"/>
      <c r="AA76" s="35">
        <v>0</v>
      </c>
      <c r="AB76" s="17"/>
      <c r="AC76" s="35">
        <v>0</v>
      </c>
      <c r="AD76" s="17"/>
      <c r="AE76" s="35">
        <f t="shared" si="2"/>
        <v>0</v>
      </c>
      <c r="AF76" s="40"/>
      <c r="AG76" s="35">
        <v>0</v>
      </c>
      <c r="AH76" s="40"/>
      <c r="AI76" s="35">
        <v>0</v>
      </c>
      <c r="AJ76" s="17"/>
      <c r="AK76" s="35">
        <v>0</v>
      </c>
      <c r="AL76" s="17"/>
      <c r="AM76" s="35">
        <v>0</v>
      </c>
      <c r="AN76" s="17"/>
      <c r="AO76" s="35">
        <f t="shared" si="3"/>
        <v>0</v>
      </c>
      <c r="AP76" s="40"/>
      <c r="AQ76" s="17">
        <v>0</v>
      </c>
      <c r="AR76" s="17"/>
      <c r="AS76" s="17">
        <v>0</v>
      </c>
      <c r="AT76" s="17"/>
      <c r="AU76" s="35">
        <f t="shared" si="4"/>
        <v>0</v>
      </c>
      <c r="AV76" s="96"/>
      <c r="AW76" s="81" t="s">
        <v>65</v>
      </c>
      <c r="AX76" s="96"/>
      <c r="AY76" s="35">
        <v>0</v>
      </c>
      <c r="AZ76" s="17"/>
      <c r="BA76" s="35">
        <v>0</v>
      </c>
      <c r="BB76" s="17"/>
      <c r="BC76" s="35">
        <v>0</v>
      </c>
      <c r="BD76" s="17"/>
      <c r="BE76" s="35">
        <v>0</v>
      </c>
      <c r="BF76" s="17"/>
      <c r="BG76" s="35">
        <f t="shared" si="15"/>
        <v>0</v>
      </c>
      <c r="BH76" s="79"/>
    </row>
    <row r="77" spans="1:60" ht="12.75" hidden="1">
      <c r="A77" s="77" t="s">
        <v>66</v>
      </c>
      <c r="B77" s="96"/>
      <c r="C77" s="35">
        <f t="shared" si="13"/>
        <v>0</v>
      </c>
      <c r="D77" s="35"/>
      <c r="E77" s="35">
        <v>0</v>
      </c>
      <c r="F77" s="35"/>
      <c r="G77" s="35">
        <v>0</v>
      </c>
      <c r="H77" s="35"/>
      <c r="I77" s="35">
        <f aca="true" t="shared" si="17" ref="I77:I98">M77-K77</f>
        <v>0</v>
      </c>
      <c r="J77" s="35"/>
      <c r="K77" s="35">
        <f t="shared" si="16"/>
        <v>0</v>
      </c>
      <c r="L77" s="35"/>
      <c r="M77" s="35">
        <v>0</v>
      </c>
      <c r="N77" s="35"/>
      <c r="O77" s="35">
        <v>0</v>
      </c>
      <c r="P77" s="35"/>
      <c r="Q77" s="35">
        <v>0</v>
      </c>
      <c r="R77" s="35"/>
      <c r="S77" s="35">
        <v>0</v>
      </c>
      <c r="T77" s="35"/>
      <c r="U77" s="35">
        <f aca="true" t="shared" si="18" ref="U77:U98">SUM(O77:S77)</f>
        <v>0</v>
      </c>
      <c r="V77" s="96"/>
      <c r="W77" s="81" t="s">
        <v>66</v>
      </c>
      <c r="X77" s="96"/>
      <c r="Y77" s="35">
        <v>0</v>
      </c>
      <c r="Z77" s="17"/>
      <c r="AA77" s="35">
        <v>0</v>
      </c>
      <c r="AB77" s="17"/>
      <c r="AC77" s="35">
        <v>0</v>
      </c>
      <c r="AD77" s="17"/>
      <c r="AE77" s="35">
        <f aca="true" t="shared" si="19" ref="AE77:AE98">+Y77-AA77-AC77</f>
        <v>0</v>
      </c>
      <c r="AF77" s="40"/>
      <c r="AG77" s="35">
        <v>0</v>
      </c>
      <c r="AH77" s="40"/>
      <c r="AI77" s="35">
        <v>0</v>
      </c>
      <c r="AJ77" s="17"/>
      <c r="AK77" s="35">
        <v>0</v>
      </c>
      <c r="AL77" s="17"/>
      <c r="AM77" s="35">
        <v>0</v>
      </c>
      <c r="AN77" s="17"/>
      <c r="AO77" s="35">
        <f aca="true" t="shared" si="20" ref="AO77:AO98">+AE77+AG77+AI77-AK77+AM77</f>
        <v>0</v>
      </c>
      <c r="AP77" s="40"/>
      <c r="AQ77" s="17">
        <v>0</v>
      </c>
      <c r="AR77" s="17"/>
      <c r="AS77" s="17">
        <v>0</v>
      </c>
      <c r="AT77" s="17"/>
      <c r="AU77" s="35">
        <f aca="true" t="shared" si="21" ref="AU77:AU98">+C77-I77</f>
        <v>0</v>
      </c>
      <c r="AV77" s="96"/>
      <c r="AW77" s="81" t="s">
        <v>66</v>
      </c>
      <c r="AX77" s="96"/>
      <c r="AY77" s="35">
        <v>0</v>
      </c>
      <c r="AZ77" s="17"/>
      <c r="BA77" s="35">
        <v>0</v>
      </c>
      <c r="BB77" s="17"/>
      <c r="BC77" s="35">
        <v>0</v>
      </c>
      <c r="BD77" s="17"/>
      <c r="BE77" s="35">
        <v>0</v>
      </c>
      <c r="BF77" s="17"/>
      <c r="BG77" s="35">
        <f t="shared" si="15"/>
        <v>0</v>
      </c>
      <c r="BH77" s="79"/>
    </row>
    <row r="78" spans="1:60" ht="12.75">
      <c r="A78" s="77" t="s">
        <v>67</v>
      </c>
      <c r="B78" s="96"/>
      <c r="C78" s="35">
        <f t="shared" si="13"/>
        <v>1400109</v>
      </c>
      <c r="D78" s="35"/>
      <c r="E78" s="35">
        <v>1930065</v>
      </c>
      <c r="F78" s="35"/>
      <c r="G78" s="35">
        <v>3330174</v>
      </c>
      <c r="H78" s="35"/>
      <c r="I78" s="35">
        <f t="shared" si="17"/>
        <v>369401</v>
      </c>
      <c r="J78" s="35"/>
      <c r="K78" s="35">
        <f t="shared" si="16"/>
        <v>488571</v>
      </c>
      <c r="L78" s="35"/>
      <c r="M78" s="35">
        <v>857972</v>
      </c>
      <c r="N78" s="35"/>
      <c r="O78" s="35">
        <v>1075512</v>
      </c>
      <c r="P78" s="35"/>
      <c r="Q78" s="35">
        <v>0</v>
      </c>
      <c r="R78" s="35"/>
      <c r="S78" s="35">
        <v>1396690</v>
      </c>
      <c r="T78" s="35"/>
      <c r="U78" s="35">
        <f t="shared" si="18"/>
        <v>2472202</v>
      </c>
      <c r="V78" s="96"/>
      <c r="W78" s="81" t="s">
        <v>67</v>
      </c>
      <c r="X78" s="96"/>
      <c r="Y78" s="35">
        <v>3781534</v>
      </c>
      <c r="Z78" s="17"/>
      <c r="AA78" s="35">
        <f>3455936-191418</f>
        <v>3264518</v>
      </c>
      <c r="AB78" s="17"/>
      <c r="AC78" s="35">
        <v>191418</v>
      </c>
      <c r="AD78" s="17"/>
      <c r="AE78" s="35">
        <f t="shared" si="19"/>
        <v>325598</v>
      </c>
      <c r="AF78" s="40"/>
      <c r="AG78" s="35">
        <v>4905</v>
      </c>
      <c r="AH78" s="40"/>
      <c r="AI78" s="35">
        <v>0</v>
      </c>
      <c r="AJ78" s="17"/>
      <c r="AK78" s="35">
        <v>0</v>
      </c>
      <c r="AL78" s="17"/>
      <c r="AM78" s="35">
        <v>0</v>
      </c>
      <c r="AN78" s="17"/>
      <c r="AO78" s="35">
        <f t="shared" si="20"/>
        <v>330503</v>
      </c>
      <c r="AP78" s="40"/>
      <c r="AQ78" s="17">
        <v>0</v>
      </c>
      <c r="AR78" s="17"/>
      <c r="AS78" s="17">
        <v>0</v>
      </c>
      <c r="AT78" s="17"/>
      <c r="AU78" s="35">
        <f t="shared" si="21"/>
        <v>1030708</v>
      </c>
      <c r="AV78" s="96"/>
      <c r="AW78" s="81" t="s">
        <v>67</v>
      </c>
      <c r="AX78" s="96"/>
      <c r="AY78" s="35">
        <v>0</v>
      </c>
      <c r="AZ78" s="17"/>
      <c r="BA78" s="35">
        <v>417388</v>
      </c>
      <c r="BB78" s="17"/>
      <c r="BC78" s="35">
        <v>31627</v>
      </c>
      <c r="BD78" s="17"/>
      <c r="BE78" s="35">
        <v>39556</v>
      </c>
      <c r="BF78" s="17"/>
      <c r="BG78" s="35">
        <f t="shared" si="15"/>
        <v>488571</v>
      </c>
      <c r="BH78" s="79"/>
    </row>
    <row r="79" spans="1:60" ht="12.75">
      <c r="A79" s="77" t="s">
        <v>68</v>
      </c>
      <c r="B79" s="96"/>
      <c r="C79" s="35">
        <f t="shared" si="13"/>
        <v>2362750</v>
      </c>
      <c r="D79" s="35"/>
      <c r="E79" s="35">
        <v>2909404</v>
      </c>
      <c r="F79" s="35"/>
      <c r="G79" s="35">
        <v>5272154</v>
      </c>
      <c r="H79" s="35"/>
      <c r="I79" s="35">
        <f>M79-K79</f>
        <v>636614</v>
      </c>
      <c r="J79" s="35"/>
      <c r="K79" s="35">
        <f t="shared" si="16"/>
        <v>5347382</v>
      </c>
      <c r="L79" s="35"/>
      <c r="M79" s="35">
        <v>5983996</v>
      </c>
      <c r="N79" s="35"/>
      <c r="O79" s="35">
        <v>1541508</v>
      </c>
      <c r="P79" s="35"/>
      <c r="Q79" s="35">
        <v>0</v>
      </c>
      <c r="R79" s="35"/>
      <c r="S79" s="35">
        <v>-2253350</v>
      </c>
      <c r="T79" s="35"/>
      <c r="U79" s="35">
        <f t="shared" si="18"/>
        <v>-711842</v>
      </c>
      <c r="V79" s="35"/>
      <c r="W79" s="81" t="s">
        <v>68</v>
      </c>
      <c r="X79" s="35"/>
      <c r="Y79" s="35">
        <v>2719314</v>
      </c>
      <c r="Z79" s="17"/>
      <c r="AA79" s="35">
        <f>2321446-154173</f>
        <v>2167273</v>
      </c>
      <c r="AB79" s="17"/>
      <c r="AC79" s="35">
        <v>154173</v>
      </c>
      <c r="AD79" s="17"/>
      <c r="AE79" s="35">
        <f t="shared" si="19"/>
        <v>397868</v>
      </c>
      <c r="AF79" s="40"/>
      <c r="AG79" s="35">
        <v>-99402</v>
      </c>
      <c r="AH79" s="40"/>
      <c r="AI79" s="35">
        <v>0</v>
      </c>
      <c r="AJ79" s="17"/>
      <c r="AK79" s="35">
        <v>0</v>
      </c>
      <c r="AL79" s="17"/>
      <c r="AM79" s="35">
        <v>0</v>
      </c>
      <c r="AN79" s="17"/>
      <c r="AO79" s="35">
        <f t="shared" si="20"/>
        <v>298466</v>
      </c>
      <c r="AP79" s="40"/>
      <c r="AQ79" s="17">
        <v>0</v>
      </c>
      <c r="AR79" s="17"/>
      <c r="AS79" s="17">
        <v>0</v>
      </c>
      <c r="AT79" s="17"/>
      <c r="AU79" s="35">
        <f t="shared" si="21"/>
        <v>1726136</v>
      </c>
      <c r="AV79" s="17"/>
      <c r="AW79" s="81" t="s">
        <v>68</v>
      </c>
      <c r="AX79" s="17"/>
      <c r="AY79" s="35">
        <v>2542727</v>
      </c>
      <c r="AZ79" s="17"/>
      <c r="BA79" s="35">
        <v>0</v>
      </c>
      <c r="BB79" s="17"/>
      <c r="BC79" s="35">
        <v>0</v>
      </c>
      <c r="BD79" s="17"/>
      <c r="BE79" s="35">
        <f>3872+2800783</f>
        <v>2804655</v>
      </c>
      <c r="BF79" s="17"/>
      <c r="BG79" s="35">
        <f t="shared" si="15"/>
        <v>5347382</v>
      </c>
      <c r="BH79" s="79"/>
    </row>
    <row r="80" spans="1:60" ht="12.75" hidden="1">
      <c r="A80" s="77" t="s">
        <v>176</v>
      </c>
      <c r="B80" s="96"/>
      <c r="C80" s="35">
        <f t="shared" si="13"/>
        <v>0</v>
      </c>
      <c r="D80" s="35"/>
      <c r="E80" s="35">
        <v>0</v>
      </c>
      <c r="F80" s="35"/>
      <c r="G80" s="35">
        <v>0</v>
      </c>
      <c r="H80" s="35"/>
      <c r="I80" s="35">
        <f t="shared" si="17"/>
        <v>0</v>
      </c>
      <c r="J80" s="35"/>
      <c r="K80" s="35">
        <f t="shared" si="16"/>
        <v>0</v>
      </c>
      <c r="L80" s="35"/>
      <c r="M80" s="35">
        <v>0</v>
      </c>
      <c r="N80" s="35"/>
      <c r="O80" s="35">
        <v>0</v>
      </c>
      <c r="P80" s="35"/>
      <c r="Q80" s="35">
        <v>0</v>
      </c>
      <c r="R80" s="35"/>
      <c r="S80" s="35">
        <v>0</v>
      </c>
      <c r="T80" s="35"/>
      <c r="U80" s="35">
        <f t="shared" si="18"/>
        <v>0</v>
      </c>
      <c r="V80" s="96"/>
      <c r="W80" s="81" t="s">
        <v>176</v>
      </c>
      <c r="X80" s="96"/>
      <c r="Y80" s="35">
        <v>0</v>
      </c>
      <c r="Z80" s="17"/>
      <c r="AA80" s="35">
        <v>0</v>
      </c>
      <c r="AB80" s="17"/>
      <c r="AC80" s="35">
        <v>0</v>
      </c>
      <c r="AD80" s="17"/>
      <c r="AE80" s="35">
        <f t="shared" si="19"/>
        <v>0</v>
      </c>
      <c r="AF80" s="40"/>
      <c r="AG80" s="35">
        <v>0</v>
      </c>
      <c r="AH80" s="40"/>
      <c r="AI80" s="35">
        <v>0</v>
      </c>
      <c r="AJ80" s="17"/>
      <c r="AK80" s="35">
        <v>0</v>
      </c>
      <c r="AL80" s="17"/>
      <c r="AM80" s="35">
        <v>0</v>
      </c>
      <c r="AN80" s="17"/>
      <c r="AO80" s="35">
        <f t="shared" si="20"/>
        <v>0</v>
      </c>
      <c r="AP80" s="40"/>
      <c r="AQ80" s="17">
        <v>0</v>
      </c>
      <c r="AR80" s="17"/>
      <c r="AS80" s="17">
        <v>0</v>
      </c>
      <c r="AT80" s="17"/>
      <c r="AU80" s="35">
        <f t="shared" si="21"/>
        <v>0</v>
      </c>
      <c r="AV80" s="96"/>
      <c r="AW80" s="81" t="s">
        <v>176</v>
      </c>
      <c r="AX80" s="96"/>
      <c r="AY80" s="35">
        <v>0</v>
      </c>
      <c r="AZ80" s="17"/>
      <c r="BA80" s="35">
        <v>0</v>
      </c>
      <c r="BB80" s="17"/>
      <c r="BC80" s="35">
        <v>0</v>
      </c>
      <c r="BD80" s="17"/>
      <c r="BE80" s="35">
        <v>0</v>
      </c>
      <c r="BF80" s="17"/>
      <c r="BG80" s="35">
        <f t="shared" si="15"/>
        <v>0</v>
      </c>
      <c r="BH80" s="79"/>
    </row>
    <row r="81" spans="1:60" ht="12.75" hidden="1">
      <c r="A81" s="77" t="s">
        <v>133</v>
      </c>
      <c r="B81" s="96"/>
      <c r="C81" s="35">
        <f t="shared" si="13"/>
        <v>0</v>
      </c>
      <c r="D81" s="35"/>
      <c r="E81" s="35">
        <v>0</v>
      </c>
      <c r="F81" s="35"/>
      <c r="G81" s="35">
        <v>0</v>
      </c>
      <c r="H81" s="35"/>
      <c r="I81" s="35">
        <f t="shared" si="17"/>
        <v>0</v>
      </c>
      <c r="J81" s="35"/>
      <c r="K81" s="35">
        <f t="shared" si="16"/>
        <v>0</v>
      </c>
      <c r="L81" s="35"/>
      <c r="M81" s="35">
        <v>0</v>
      </c>
      <c r="N81" s="35"/>
      <c r="O81" s="35">
        <v>0</v>
      </c>
      <c r="P81" s="35"/>
      <c r="Q81" s="35">
        <v>0</v>
      </c>
      <c r="R81" s="35"/>
      <c r="S81" s="35">
        <v>0</v>
      </c>
      <c r="T81" s="35"/>
      <c r="U81" s="35">
        <f t="shared" si="18"/>
        <v>0</v>
      </c>
      <c r="V81" s="96"/>
      <c r="W81" s="81" t="s">
        <v>133</v>
      </c>
      <c r="X81" s="96"/>
      <c r="Y81" s="35">
        <v>0</v>
      </c>
      <c r="Z81" s="17"/>
      <c r="AA81" s="35">
        <v>0</v>
      </c>
      <c r="AB81" s="17"/>
      <c r="AC81" s="35">
        <v>0</v>
      </c>
      <c r="AD81" s="17"/>
      <c r="AE81" s="35">
        <f t="shared" si="19"/>
        <v>0</v>
      </c>
      <c r="AF81" s="40"/>
      <c r="AG81" s="35">
        <v>0</v>
      </c>
      <c r="AH81" s="40"/>
      <c r="AI81" s="35">
        <v>0</v>
      </c>
      <c r="AJ81" s="17"/>
      <c r="AK81" s="35">
        <v>0</v>
      </c>
      <c r="AL81" s="17"/>
      <c r="AM81" s="35">
        <v>0</v>
      </c>
      <c r="AN81" s="17"/>
      <c r="AO81" s="35">
        <f t="shared" si="20"/>
        <v>0</v>
      </c>
      <c r="AP81" s="40"/>
      <c r="AQ81" s="17">
        <v>0</v>
      </c>
      <c r="AR81" s="17"/>
      <c r="AS81" s="17">
        <v>0</v>
      </c>
      <c r="AT81" s="17"/>
      <c r="AU81" s="35">
        <f t="shared" si="21"/>
        <v>0</v>
      </c>
      <c r="AV81" s="96"/>
      <c r="AW81" s="81" t="s">
        <v>133</v>
      </c>
      <c r="AX81" s="96"/>
      <c r="AY81" s="35">
        <v>0</v>
      </c>
      <c r="AZ81" s="17"/>
      <c r="BA81" s="35">
        <v>0</v>
      </c>
      <c r="BB81" s="17"/>
      <c r="BC81" s="35">
        <v>0</v>
      </c>
      <c r="BD81" s="17"/>
      <c r="BE81" s="35">
        <v>0</v>
      </c>
      <c r="BF81" s="17"/>
      <c r="BG81" s="35">
        <f t="shared" si="15"/>
        <v>0</v>
      </c>
      <c r="BH81" s="79"/>
    </row>
    <row r="82" spans="1:60" ht="12.75" hidden="1">
      <c r="A82" s="77" t="s">
        <v>69</v>
      </c>
      <c r="B82" s="96"/>
      <c r="C82" s="35">
        <f t="shared" si="13"/>
        <v>0</v>
      </c>
      <c r="D82" s="35"/>
      <c r="E82" s="35">
        <v>0</v>
      </c>
      <c r="F82" s="35"/>
      <c r="G82" s="35">
        <v>0</v>
      </c>
      <c r="H82" s="35"/>
      <c r="I82" s="35">
        <f t="shared" si="17"/>
        <v>0</v>
      </c>
      <c r="J82" s="35"/>
      <c r="K82" s="35">
        <f t="shared" si="16"/>
        <v>0</v>
      </c>
      <c r="L82" s="35"/>
      <c r="M82" s="35">
        <v>0</v>
      </c>
      <c r="N82" s="35"/>
      <c r="O82" s="35">
        <v>0</v>
      </c>
      <c r="P82" s="35"/>
      <c r="Q82" s="35">
        <v>0</v>
      </c>
      <c r="R82" s="35"/>
      <c r="S82" s="35">
        <v>0</v>
      </c>
      <c r="T82" s="35"/>
      <c r="U82" s="35">
        <f t="shared" si="18"/>
        <v>0</v>
      </c>
      <c r="V82" s="96"/>
      <c r="W82" s="81" t="s">
        <v>69</v>
      </c>
      <c r="X82" s="96"/>
      <c r="Y82" s="35">
        <v>0</v>
      </c>
      <c r="Z82" s="17"/>
      <c r="AA82" s="35">
        <v>0</v>
      </c>
      <c r="AB82" s="17"/>
      <c r="AC82" s="35">
        <v>0</v>
      </c>
      <c r="AD82" s="17"/>
      <c r="AE82" s="35">
        <f t="shared" si="19"/>
        <v>0</v>
      </c>
      <c r="AF82" s="40"/>
      <c r="AG82" s="35">
        <v>0</v>
      </c>
      <c r="AH82" s="40"/>
      <c r="AI82" s="35">
        <v>0</v>
      </c>
      <c r="AJ82" s="17"/>
      <c r="AK82" s="35">
        <v>0</v>
      </c>
      <c r="AL82" s="17"/>
      <c r="AM82" s="35">
        <v>0</v>
      </c>
      <c r="AN82" s="17"/>
      <c r="AO82" s="35">
        <f t="shared" si="20"/>
        <v>0</v>
      </c>
      <c r="AP82" s="40"/>
      <c r="AQ82" s="17">
        <v>0</v>
      </c>
      <c r="AR82" s="17"/>
      <c r="AS82" s="17">
        <v>0</v>
      </c>
      <c r="AT82" s="17"/>
      <c r="AU82" s="35">
        <f t="shared" si="21"/>
        <v>0</v>
      </c>
      <c r="AV82" s="96"/>
      <c r="AW82" s="81" t="s">
        <v>69</v>
      </c>
      <c r="AX82" s="96"/>
      <c r="AY82" s="35">
        <v>0</v>
      </c>
      <c r="AZ82" s="17"/>
      <c r="BA82" s="35">
        <v>0</v>
      </c>
      <c r="BB82" s="17"/>
      <c r="BC82" s="35">
        <v>0</v>
      </c>
      <c r="BD82" s="17"/>
      <c r="BE82" s="35">
        <v>0</v>
      </c>
      <c r="BF82" s="17"/>
      <c r="BG82" s="35">
        <f t="shared" si="15"/>
        <v>0</v>
      </c>
      <c r="BH82" s="79"/>
    </row>
    <row r="83" spans="1:60" ht="12.75" hidden="1">
      <c r="A83" s="77" t="s">
        <v>98</v>
      </c>
      <c r="B83" s="96"/>
      <c r="C83" s="35">
        <f t="shared" si="13"/>
        <v>0</v>
      </c>
      <c r="D83" s="35"/>
      <c r="E83" s="35">
        <v>0</v>
      </c>
      <c r="F83" s="35"/>
      <c r="G83" s="35">
        <v>0</v>
      </c>
      <c r="H83" s="35"/>
      <c r="I83" s="35">
        <f t="shared" si="17"/>
        <v>0</v>
      </c>
      <c r="J83" s="35"/>
      <c r="K83" s="35">
        <f t="shared" si="16"/>
        <v>0</v>
      </c>
      <c r="L83" s="35"/>
      <c r="M83" s="35">
        <v>0</v>
      </c>
      <c r="N83" s="35"/>
      <c r="O83" s="35">
        <v>0</v>
      </c>
      <c r="P83" s="35"/>
      <c r="Q83" s="35">
        <v>0</v>
      </c>
      <c r="R83" s="35"/>
      <c r="S83" s="35">
        <v>0</v>
      </c>
      <c r="T83" s="35"/>
      <c r="U83" s="35">
        <f t="shared" si="18"/>
        <v>0</v>
      </c>
      <c r="V83" s="96"/>
      <c r="W83" s="81" t="s">
        <v>98</v>
      </c>
      <c r="X83" s="96"/>
      <c r="Y83" s="35">
        <v>0</v>
      </c>
      <c r="Z83" s="17"/>
      <c r="AA83" s="35">
        <v>0</v>
      </c>
      <c r="AB83" s="17"/>
      <c r="AC83" s="35">
        <v>0</v>
      </c>
      <c r="AD83" s="17"/>
      <c r="AE83" s="35">
        <f t="shared" si="19"/>
        <v>0</v>
      </c>
      <c r="AF83" s="40"/>
      <c r="AG83" s="35">
        <v>0</v>
      </c>
      <c r="AH83" s="40"/>
      <c r="AI83" s="35">
        <v>0</v>
      </c>
      <c r="AJ83" s="17"/>
      <c r="AK83" s="35">
        <v>0</v>
      </c>
      <c r="AL83" s="17"/>
      <c r="AM83" s="35">
        <v>0</v>
      </c>
      <c r="AN83" s="17"/>
      <c r="AO83" s="35">
        <f t="shared" si="20"/>
        <v>0</v>
      </c>
      <c r="AP83" s="40"/>
      <c r="AQ83" s="17">
        <v>0</v>
      </c>
      <c r="AR83" s="17"/>
      <c r="AS83" s="17">
        <v>0</v>
      </c>
      <c r="AT83" s="17"/>
      <c r="AU83" s="35">
        <f t="shared" si="21"/>
        <v>0</v>
      </c>
      <c r="AV83" s="96"/>
      <c r="AW83" s="81" t="s">
        <v>98</v>
      </c>
      <c r="AX83" s="96"/>
      <c r="AY83" s="35">
        <v>0</v>
      </c>
      <c r="AZ83" s="17"/>
      <c r="BA83" s="35">
        <v>0</v>
      </c>
      <c r="BB83" s="17"/>
      <c r="BC83" s="35">
        <v>0</v>
      </c>
      <c r="BD83" s="17"/>
      <c r="BE83" s="35">
        <v>0</v>
      </c>
      <c r="BF83" s="17"/>
      <c r="BG83" s="35">
        <f t="shared" si="15"/>
        <v>0</v>
      </c>
      <c r="BH83" s="79"/>
    </row>
    <row r="84" spans="1:60" ht="12.75" hidden="1">
      <c r="A84" s="77" t="s">
        <v>70</v>
      </c>
      <c r="B84" s="96"/>
      <c r="C84" s="35">
        <f t="shared" si="13"/>
        <v>0</v>
      </c>
      <c r="D84" s="35"/>
      <c r="E84" s="35">
        <v>0</v>
      </c>
      <c r="F84" s="35"/>
      <c r="G84" s="35">
        <v>0</v>
      </c>
      <c r="H84" s="35"/>
      <c r="I84" s="35">
        <f t="shared" si="17"/>
        <v>0</v>
      </c>
      <c r="J84" s="35"/>
      <c r="K84" s="35">
        <f t="shared" si="16"/>
        <v>0</v>
      </c>
      <c r="L84" s="35"/>
      <c r="M84" s="35">
        <v>0</v>
      </c>
      <c r="N84" s="35"/>
      <c r="O84" s="35">
        <v>0</v>
      </c>
      <c r="P84" s="35"/>
      <c r="Q84" s="35">
        <v>0</v>
      </c>
      <c r="R84" s="35"/>
      <c r="S84" s="35">
        <v>0</v>
      </c>
      <c r="T84" s="35"/>
      <c r="U84" s="35">
        <f t="shared" si="18"/>
        <v>0</v>
      </c>
      <c r="V84" s="96"/>
      <c r="W84" s="81" t="s">
        <v>70</v>
      </c>
      <c r="X84" s="96"/>
      <c r="Y84" s="35">
        <v>0</v>
      </c>
      <c r="Z84" s="17"/>
      <c r="AA84" s="35">
        <v>0</v>
      </c>
      <c r="AB84" s="17"/>
      <c r="AC84" s="35">
        <v>0</v>
      </c>
      <c r="AD84" s="17"/>
      <c r="AE84" s="35">
        <f t="shared" si="19"/>
        <v>0</v>
      </c>
      <c r="AF84" s="40"/>
      <c r="AG84" s="35">
        <v>0</v>
      </c>
      <c r="AH84" s="40"/>
      <c r="AI84" s="35">
        <v>0</v>
      </c>
      <c r="AJ84" s="17"/>
      <c r="AK84" s="35">
        <v>0</v>
      </c>
      <c r="AL84" s="17"/>
      <c r="AM84" s="35">
        <v>0</v>
      </c>
      <c r="AN84" s="17"/>
      <c r="AO84" s="35">
        <f t="shared" si="20"/>
        <v>0</v>
      </c>
      <c r="AP84" s="40"/>
      <c r="AQ84" s="17">
        <v>0</v>
      </c>
      <c r="AR84" s="17"/>
      <c r="AS84" s="17">
        <v>0</v>
      </c>
      <c r="AT84" s="17"/>
      <c r="AU84" s="35">
        <f t="shared" si="21"/>
        <v>0</v>
      </c>
      <c r="AV84" s="96"/>
      <c r="AW84" s="81" t="s">
        <v>70</v>
      </c>
      <c r="AX84" s="96"/>
      <c r="AY84" s="35">
        <v>0</v>
      </c>
      <c r="AZ84" s="17"/>
      <c r="BA84" s="35">
        <v>0</v>
      </c>
      <c r="BB84" s="17"/>
      <c r="BC84" s="35">
        <v>0</v>
      </c>
      <c r="BD84" s="17"/>
      <c r="BE84" s="35">
        <v>0</v>
      </c>
      <c r="BF84" s="17"/>
      <c r="BG84" s="35">
        <f t="shared" si="15"/>
        <v>0</v>
      </c>
      <c r="BH84" s="79"/>
    </row>
    <row r="85" spans="1:60" ht="12.75" hidden="1">
      <c r="A85" s="77" t="s">
        <v>71</v>
      </c>
      <c r="B85" s="96"/>
      <c r="C85" s="35">
        <f t="shared" si="13"/>
        <v>0</v>
      </c>
      <c r="D85" s="35"/>
      <c r="E85" s="35">
        <v>0</v>
      </c>
      <c r="F85" s="35"/>
      <c r="G85" s="35">
        <v>0</v>
      </c>
      <c r="H85" s="35"/>
      <c r="I85" s="35">
        <f t="shared" si="17"/>
        <v>0</v>
      </c>
      <c r="J85" s="35"/>
      <c r="K85" s="35">
        <f t="shared" si="16"/>
        <v>0</v>
      </c>
      <c r="L85" s="35"/>
      <c r="M85" s="35">
        <v>0</v>
      </c>
      <c r="N85" s="35"/>
      <c r="O85" s="35">
        <v>0</v>
      </c>
      <c r="P85" s="35"/>
      <c r="Q85" s="35">
        <v>0</v>
      </c>
      <c r="R85" s="35"/>
      <c r="S85" s="35">
        <v>0</v>
      </c>
      <c r="T85" s="35"/>
      <c r="U85" s="35">
        <f t="shared" si="18"/>
        <v>0</v>
      </c>
      <c r="V85" s="96"/>
      <c r="W85" s="81" t="s">
        <v>71</v>
      </c>
      <c r="X85" s="96"/>
      <c r="Y85" s="35">
        <v>0</v>
      </c>
      <c r="Z85" s="17"/>
      <c r="AA85" s="35">
        <v>0</v>
      </c>
      <c r="AB85" s="17"/>
      <c r="AC85" s="35">
        <v>0</v>
      </c>
      <c r="AD85" s="17"/>
      <c r="AE85" s="35">
        <f t="shared" si="19"/>
        <v>0</v>
      </c>
      <c r="AF85" s="40"/>
      <c r="AG85" s="35">
        <v>0</v>
      </c>
      <c r="AH85" s="40"/>
      <c r="AI85" s="35">
        <v>0</v>
      </c>
      <c r="AJ85" s="17"/>
      <c r="AK85" s="35">
        <v>0</v>
      </c>
      <c r="AL85" s="17"/>
      <c r="AM85" s="35">
        <v>0</v>
      </c>
      <c r="AN85" s="17"/>
      <c r="AO85" s="35">
        <f t="shared" si="20"/>
        <v>0</v>
      </c>
      <c r="AP85" s="40"/>
      <c r="AQ85" s="17">
        <v>0</v>
      </c>
      <c r="AR85" s="17"/>
      <c r="AS85" s="17">
        <v>0</v>
      </c>
      <c r="AT85" s="17"/>
      <c r="AU85" s="35">
        <f t="shared" si="21"/>
        <v>0</v>
      </c>
      <c r="AV85" s="96"/>
      <c r="AW85" s="81" t="s">
        <v>71</v>
      </c>
      <c r="AX85" s="96"/>
      <c r="AY85" s="35">
        <v>0</v>
      </c>
      <c r="AZ85" s="17"/>
      <c r="BA85" s="35">
        <v>0</v>
      </c>
      <c r="BB85" s="17"/>
      <c r="BC85" s="35">
        <v>0</v>
      </c>
      <c r="BD85" s="17"/>
      <c r="BE85" s="35">
        <v>0</v>
      </c>
      <c r="BF85" s="17"/>
      <c r="BG85" s="35">
        <f t="shared" si="15"/>
        <v>0</v>
      </c>
      <c r="BH85" s="79"/>
    </row>
    <row r="86" spans="1:60" ht="12.75" hidden="1">
      <c r="A86" s="77" t="s">
        <v>72</v>
      </c>
      <c r="B86" s="96"/>
      <c r="C86" s="35">
        <f t="shared" si="13"/>
        <v>0</v>
      </c>
      <c r="D86" s="35"/>
      <c r="E86" s="35">
        <v>0</v>
      </c>
      <c r="F86" s="35"/>
      <c r="G86" s="35">
        <v>0</v>
      </c>
      <c r="H86" s="35"/>
      <c r="I86" s="35">
        <f t="shared" si="17"/>
        <v>0</v>
      </c>
      <c r="J86" s="35"/>
      <c r="K86" s="35">
        <f t="shared" si="16"/>
        <v>0</v>
      </c>
      <c r="L86" s="35"/>
      <c r="M86" s="35">
        <v>0</v>
      </c>
      <c r="N86" s="35"/>
      <c r="O86" s="35">
        <v>0</v>
      </c>
      <c r="P86" s="35"/>
      <c r="Q86" s="35">
        <v>0</v>
      </c>
      <c r="R86" s="35"/>
      <c r="S86" s="35">
        <v>0</v>
      </c>
      <c r="T86" s="35"/>
      <c r="U86" s="35">
        <f t="shared" si="18"/>
        <v>0</v>
      </c>
      <c r="V86" s="35"/>
      <c r="W86" s="81" t="s">
        <v>72</v>
      </c>
      <c r="X86" s="35"/>
      <c r="Y86" s="35">
        <v>0</v>
      </c>
      <c r="Z86" s="17"/>
      <c r="AA86" s="35">
        <v>0</v>
      </c>
      <c r="AB86" s="17"/>
      <c r="AC86" s="35">
        <v>0</v>
      </c>
      <c r="AD86" s="17"/>
      <c r="AE86" s="35">
        <f t="shared" si="19"/>
        <v>0</v>
      </c>
      <c r="AF86" s="40"/>
      <c r="AG86" s="35">
        <v>0</v>
      </c>
      <c r="AH86" s="40"/>
      <c r="AI86" s="35">
        <v>0</v>
      </c>
      <c r="AJ86" s="17"/>
      <c r="AK86" s="35">
        <v>0</v>
      </c>
      <c r="AL86" s="17"/>
      <c r="AM86" s="35">
        <v>0</v>
      </c>
      <c r="AN86" s="17"/>
      <c r="AO86" s="35">
        <f t="shared" si="20"/>
        <v>0</v>
      </c>
      <c r="AP86" s="40"/>
      <c r="AQ86" s="17">
        <v>0</v>
      </c>
      <c r="AR86" s="17"/>
      <c r="AS86" s="17">
        <v>0</v>
      </c>
      <c r="AT86" s="17"/>
      <c r="AU86" s="35">
        <f t="shared" si="21"/>
        <v>0</v>
      </c>
      <c r="AV86" s="17"/>
      <c r="AW86" s="81" t="s">
        <v>72</v>
      </c>
      <c r="AX86" s="17"/>
      <c r="AY86" s="35">
        <v>0</v>
      </c>
      <c r="AZ86" s="17"/>
      <c r="BA86" s="35">
        <v>0</v>
      </c>
      <c r="BB86" s="17"/>
      <c r="BC86" s="35">
        <v>0</v>
      </c>
      <c r="BD86" s="17"/>
      <c r="BE86" s="35">
        <v>0</v>
      </c>
      <c r="BF86" s="17"/>
      <c r="BG86" s="35">
        <f t="shared" si="15"/>
        <v>0</v>
      </c>
      <c r="BH86" s="79"/>
    </row>
    <row r="87" spans="1:60" ht="12.75" hidden="1">
      <c r="A87" s="77" t="s">
        <v>73</v>
      </c>
      <c r="B87" s="96"/>
      <c r="C87" s="35">
        <f t="shared" si="13"/>
        <v>0</v>
      </c>
      <c r="D87" s="35"/>
      <c r="E87" s="35">
        <v>0</v>
      </c>
      <c r="F87" s="35"/>
      <c r="G87" s="35">
        <v>0</v>
      </c>
      <c r="H87" s="35"/>
      <c r="I87" s="35">
        <f t="shared" si="17"/>
        <v>0</v>
      </c>
      <c r="J87" s="35"/>
      <c r="K87" s="35">
        <f t="shared" si="16"/>
        <v>0</v>
      </c>
      <c r="L87" s="35"/>
      <c r="M87" s="35">
        <v>0</v>
      </c>
      <c r="N87" s="35"/>
      <c r="O87" s="35">
        <v>0</v>
      </c>
      <c r="P87" s="35"/>
      <c r="Q87" s="35">
        <v>0</v>
      </c>
      <c r="R87" s="35"/>
      <c r="S87" s="35">
        <v>0</v>
      </c>
      <c r="T87" s="35"/>
      <c r="U87" s="35">
        <f t="shared" si="18"/>
        <v>0</v>
      </c>
      <c r="V87" s="96"/>
      <c r="W87" s="81" t="s">
        <v>73</v>
      </c>
      <c r="X87" s="96"/>
      <c r="Y87" s="35">
        <v>0</v>
      </c>
      <c r="Z87" s="17"/>
      <c r="AA87" s="35">
        <v>0</v>
      </c>
      <c r="AB87" s="17"/>
      <c r="AC87" s="35">
        <v>0</v>
      </c>
      <c r="AD87" s="17"/>
      <c r="AE87" s="35">
        <f t="shared" si="19"/>
        <v>0</v>
      </c>
      <c r="AF87" s="40"/>
      <c r="AG87" s="35">
        <v>0</v>
      </c>
      <c r="AH87" s="40"/>
      <c r="AI87" s="35">
        <v>0</v>
      </c>
      <c r="AJ87" s="17"/>
      <c r="AK87" s="35">
        <v>0</v>
      </c>
      <c r="AL87" s="17"/>
      <c r="AM87" s="35">
        <v>0</v>
      </c>
      <c r="AN87" s="17"/>
      <c r="AO87" s="35">
        <f t="shared" si="20"/>
        <v>0</v>
      </c>
      <c r="AP87" s="40"/>
      <c r="AQ87" s="17">
        <v>0</v>
      </c>
      <c r="AR87" s="17"/>
      <c r="AS87" s="17">
        <v>0</v>
      </c>
      <c r="AT87" s="17"/>
      <c r="AU87" s="35">
        <f t="shared" si="21"/>
        <v>0</v>
      </c>
      <c r="AV87" s="96"/>
      <c r="AW87" s="81" t="s">
        <v>73</v>
      </c>
      <c r="AX87" s="96"/>
      <c r="AY87" s="35">
        <v>0</v>
      </c>
      <c r="AZ87" s="17"/>
      <c r="BA87" s="35">
        <v>0</v>
      </c>
      <c r="BB87" s="17"/>
      <c r="BC87" s="35">
        <v>0</v>
      </c>
      <c r="BD87" s="17"/>
      <c r="BE87" s="35">
        <v>0</v>
      </c>
      <c r="BF87" s="17"/>
      <c r="BG87" s="35">
        <f t="shared" si="15"/>
        <v>0</v>
      </c>
      <c r="BH87" s="79"/>
    </row>
    <row r="88" spans="1:60" ht="12.75" hidden="1">
      <c r="A88" s="77" t="s">
        <v>74</v>
      </c>
      <c r="B88" s="96"/>
      <c r="C88" s="35">
        <f t="shared" si="13"/>
        <v>0</v>
      </c>
      <c r="D88" s="35"/>
      <c r="E88" s="35">
        <v>0</v>
      </c>
      <c r="F88" s="35"/>
      <c r="G88" s="35">
        <v>0</v>
      </c>
      <c r="H88" s="35"/>
      <c r="I88" s="35">
        <f t="shared" si="17"/>
        <v>0</v>
      </c>
      <c r="J88" s="35"/>
      <c r="K88" s="35">
        <f t="shared" si="16"/>
        <v>0</v>
      </c>
      <c r="L88" s="35"/>
      <c r="M88" s="35">
        <v>0</v>
      </c>
      <c r="N88" s="35"/>
      <c r="O88" s="35">
        <v>0</v>
      </c>
      <c r="P88" s="35"/>
      <c r="Q88" s="35">
        <v>0</v>
      </c>
      <c r="R88" s="35"/>
      <c r="S88" s="35">
        <v>0</v>
      </c>
      <c r="T88" s="35"/>
      <c r="U88" s="35">
        <f t="shared" si="18"/>
        <v>0</v>
      </c>
      <c r="V88" s="96"/>
      <c r="W88" s="81" t="s">
        <v>74</v>
      </c>
      <c r="X88" s="96"/>
      <c r="Y88" s="35">
        <v>0</v>
      </c>
      <c r="Z88" s="17"/>
      <c r="AA88" s="35">
        <v>0</v>
      </c>
      <c r="AB88" s="17"/>
      <c r="AC88" s="35">
        <v>0</v>
      </c>
      <c r="AD88" s="17"/>
      <c r="AE88" s="35">
        <f t="shared" si="19"/>
        <v>0</v>
      </c>
      <c r="AF88" s="40"/>
      <c r="AG88" s="35">
        <v>0</v>
      </c>
      <c r="AH88" s="40"/>
      <c r="AI88" s="35">
        <v>0</v>
      </c>
      <c r="AJ88" s="17"/>
      <c r="AK88" s="35">
        <v>0</v>
      </c>
      <c r="AL88" s="17"/>
      <c r="AM88" s="35">
        <v>0</v>
      </c>
      <c r="AN88" s="17"/>
      <c r="AO88" s="35">
        <f t="shared" si="20"/>
        <v>0</v>
      </c>
      <c r="AP88" s="40"/>
      <c r="AQ88" s="17">
        <v>0</v>
      </c>
      <c r="AR88" s="17"/>
      <c r="AS88" s="17">
        <v>0</v>
      </c>
      <c r="AT88" s="17"/>
      <c r="AU88" s="35">
        <f t="shared" si="21"/>
        <v>0</v>
      </c>
      <c r="AV88" s="96"/>
      <c r="AW88" s="81" t="s">
        <v>74</v>
      </c>
      <c r="AX88" s="96"/>
      <c r="AY88" s="35">
        <v>0</v>
      </c>
      <c r="AZ88" s="17"/>
      <c r="BA88" s="35">
        <v>0</v>
      </c>
      <c r="BB88" s="17"/>
      <c r="BC88" s="35">
        <v>0</v>
      </c>
      <c r="BD88" s="17"/>
      <c r="BE88" s="35">
        <v>0</v>
      </c>
      <c r="BF88" s="17"/>
      <c r="BG88" s="35">
        <f t="shared" si="15"/>
        <v>0</v>
      </c>
      <c r="BH88" s="79"/>
    </row>
    <row r="89" spans="1:60" ht="12.75" hidden="1">
      <c r="A89" s="77" t="s">
        <v>75</v>
      </c>
      <c r="B89" s="96"/>
      <c r="C89" s="35">
        <f t="shared" si="13"/>
        <v>0</v>
      </c>
      <c r="D89" s="35"/>
      <c r="E89" s="35">
        <v>0</v>
      </c>
      <c r="F89" s="35"/>
      <c r="G89" s="35">
        <v>0</v>
      </c>
      <c r="H89" s="35"/>
      <c r="I89" s="35">
        <f t="shared" si="17"/>
        <v>0</v>
      </c>
      <c r="J89" s="35"/>
      <c r="K89" s="35">
        <f t="shared" si="16"/>
        <v>0</v>
      </c>
      <c r="L89" s="35"/>
      <c r="M89" s="35">
        <v>0</v>
      </c>
      <c r="N89" s="35"/>
      <c r="O89" s="35">
        <v>0</v>
      </c>
      <c r="P89" s="35"/>
      <c r="Q89" s="35">
        <v>0</v>
      </c>
      <c r="R89" s="35"/>
      <c r="S89" s="35">
        <v>0</v>
      </c>
      <c r="T89" s="35"/>
      <c r="U89" s="35">
        <f t="shared" si="18"/>
        <v>0</v>
      </c>
      <c r="V89" s="96"/>
      <c r="W89" s="81" t="s">
        <v>75</v>
      </c>
      <c r="X89" s="96"/>
      <c r="Y89" s="35">
        <v>0</v>
      </c>
      <c r="Z89" s="17"/>
      <c r="AA89" s="35">
        <v>0</v>
      </c>
      <c r="AB89" s="17"/>
      <c r="AC89" s="35">
        <v>0</v>
      </c>
      <c r="AD89" s="17"/>
      <c r="AE89" s="35">
        <f t="shared" si="19"/>
        <v>0</v>
      </c>
      <c r="AF89" s="40"/>
      <c r="AG89" s="35">
        <v>0</v>
      </c>
      <c r="AH89" s="40"/>
      <c r="AI89" s="35">
        <v>0</v>
      </c>
      <c r="AJ89" s="17"/>
      <c r="AK89" s="35">
        <v>0</v>
      </c>
      <c r="AL89" s="17"/>
      <c r="AM89" s="35">
        <v>0</v>
      </c>
      <c r="AN89" s="17"/>
      <c r="AO89" s="35">
        <f t="shared" si="20"/>
        <v>0</v>
      </c>
      <c r="AP89" s="40"/>
      <c r="AQ89" s="17">
        <v>0</v>
      </c>
      <c r="AR89" s="17"/>
      <c r="AS89" s="17">
        <v>0</v>
      </c>
      <c r="AT89" s="17"/>
      <c r="AU89" s="35">
        <f t="shared" si="21"/>
        <v>0</v>
      </c>
      <c r="AV89" s="96"/>
      <c r="AW89" s="81" t="s">
        <v>75</v>
      </c>
      <c r="AX89" s="96"/>
      <c r="AY89" s="35">
        <v>0</v>
      </c>
      <c r="AZ89" s="17"/>
      <c r="BA89" s="35">
        <v>0</v>
      </c>
      <c r="BB89" s="17"/>
      <c r="BC89" s="35">
        <v>0</v>
      </c>
      <c r="BD89" s="17"/>
      <c r="BE89" s="35">
        <v>0</v>
      </c>
      <c r="BF89" s="17"/>
      <c r="BG89" s="35">
        <f t="shared" si="15"/>
        <v>0</v>
      </c>
      <c r="BH89" s="79"/>
    </row>
    <row r="90" spans="1:60" ht="12.75" hidden="1">
      <c r="A90" s="77" t="s">
        <v>76</v>
      </c>
      <c r="B90" s="96"/>
      <c r="C90" s="35">
        <f t="shared" si="13"/>
        <v>0</v>
      </c>
      <c r="D90" s="35"/>
      <c r="E90" s="35">
        <v>0</v>
      </c>
      <c r="F90" s="35"/>
      <c r="G90" s="35">
        <v>0</v>
      </c>
      <c r="H90" s="35"/>
      <c r="I90" s="35">
        <f t="shared" si="17"/>
        <v>0</v>
      </c>
      <c r="J90" s="35"/>
      <c r="K90" s="35">
        <f t="shared" si="16"/>
        <v>0</v>
      </c>
      <c r="L90" s="35"/>
      <c r="M90" s="35">
        <v>0</v>
      </c>
      <c r="N90" s="35"/>
      <c r="O90" s="35">
        <v>0</v>
      </c>
      <c r="P90" s="35"/>
      <c r="Q90" s="35">
        <v>0</v>
      </c>
      <c r="R90" s="35"/>
      <c r="S90" s="35">
        <v>0</v>
      </c>
      <c r="T90" s="35"/>
      <c r="U90" s="35">
        <f t="shared" si="18"/>
        <v>0</v>
      </c>
      <c r="V90" s="96"/>
      <c r="W90" s="81" t="s">
        <v>76</v>
      </c>
      <c r="X90" s="96"/>
      <c r="Y90" s="35">
        <v>0</v>
      </c>
      <c r="Z90" s="17"/>
      <c r="AA90" s="35">
        <v>0</v>
      </c>
      <c r="AB90" s="17"/>
      <c r="AC90" s="35">
        <v>0</v>
      </c>
      <c r="AD90" s="17"/>
      <c r="AE90" s="35">
        <f t="shared" si="19"/>
        <v>0</v>
      </c>
      <c r="AF90" s="40"/>
      <c r="AG90" s="35">
        <v>0</v>
      </c>
      <c r="AH90" s="40"/>
      <c r="AI90" s="35">
        <v>0</v>
      </c>
      <c r="AJ90" s="17"/>
      <c r="AK90" s="35">
        <v>0</v>
      </c>
      <c r="AL90" s="17"/>
      <c r="AM90" s="35">
        <v>0</v>
      </c>
      <c r="AN90" s="17"/>
      <c r="AO90" s="35">
        <f t="shared" si="20"/>
        <v>0</v>
      </c>
      <c r="AP90" s="40"/>
      <c r="AQ90" s="17">
        <v>0</v>
      </c>
      <c r="AR90" s="17"/>
      <c r="AS90" s="17">
        <v>0</v>
      </c>
      <c r="AT90" s="17"/>
      <c r="AU90" s="35">
        <f t="shared" si="21"/>
        <v>0</v>
      </c>
      <c r="AV90" s="96"/>
      <c r="AW90" s="81" t="s">
        <v>76</v>
      </c>
      <c r="AX90" s="96"/>
      <c r="AY90" s="35">
        <v>0</v>
      </c>
      <c r="AZ90" s="17"/>
      <c r="BA90" s="35">
        <v>0</v>
      </c>
      <c r="BB90" s="17"/>
      <c r="BC90" s="35">
        <v>0</v>
      </c>
      <c r="BD90" s="17"/>
      <c r="BE90" s="35">
        <v>0</v>
      </c>
      <c r="BF90" s="17"/>
      <c r="BG90" s="35">
        <f t="shared" si="15"/>
        <v>0</v>
      </c>
      <c r="BH90" s="79"/>
    </row>
    <row r="91" spans="1:60" ht="12.75" hidden="1">
      <c r="A91" s="77" t="s">
        <v>77</v>
      </c>
      <c r="B91" s="96"/>
      <c r="C91" s="35">
        <f t="shared" si="13"/>
        <v>0</v>
      </c>
      <c r="D91" s="35"/>
      <c r="E91" s="35">
        <v>0</v>
      </c>
      <c r="F91" s="35"/>
      <c r="G91" s="35">
        <v>0</v>
      </c>
      <c r="H91" s="35"/>
      <c r="I91" s="35">
        <f t="shared" si="17"/>
        <v>0</v>
      </c>
      <c r="J91" s="35"/>
      <c r="K91" s="35">
        <f t="shared" si="16"/>
        <v>0</v>
      </c>
      <c r="L91" s="35"/>
      <c r="M91" s="35">
        <v>0</v>
      </c>
      <c r="N91" s="35"/>
      <c r="O91" s="35">
        <v>0</v>
      </c>
      <c r="P91" s="35"/>
      <c r="Q91" s="35">
        <v>0</v>
      </c>
      <c r="R91" s="35"/>
      <c r="S91" s="35">
        <v>0</v>
      </c>
      <c r="T91" s="35"/>
      <c r="U91" s="35">
        <f t="shared" si="18"/>
        <v>0</v>
      </c>
      <c r="V91" s="96"/>
      <c r="W91" s="81" t="s">
        <v>77</v>
      </c>
      <c r="X91" s="96"/>
      <c r="Y91" s="35">
        <v>0</v>
      </c>
      <c r="Z91" s="17"/>
      <c r="AA91" s="35">
        <v>0</v>
      </c>
      <c r="AB91" s="17"/>
      <c r="AC91" s="35">
        <v>0</v>
      </c>
      <c r="AD91" s="17"/>
      <c r="AE91" s="35">
        <f t="shared" si="19"/>
        <v>0</v>
      </c>
      <c r="AF91" s="40"/>
      <c r="AG91" s="35">
        <v>0</v>
      </c>
      <c r="AH91" s="40"/>
      <c r="AI91" s="35">
        <v>0</v>
      </c>
      <c r="AJ91" s="17"/>
      <c r="AK91" s="35">
        <v>0</v>
      </c>
      <c r="AL91" s="17"/>
      <c r="AM91" s="35">
        <v>0</v>
      </c>
      <c r="AN91" s="17"/>
      <c r="AO91" s="35">
        <f t="shared" si="20"/>
        <v>0</v>
      </c>
      <c r="AP91" s="40"/>
      <c r="AQ91" s="17">
        <v>0</v>
      </c>
      <c r="AR91" s="17"/>
      <c r="AS91" s="17">
        <v>0</v>
      </c>
      <c r="AT91" s="17"/>
      <c r="AU91" s="35">
        <f t="shared" si="21"/>
        <v>0</v>
      </c>
      <c r="AV91" s="96"/>
      <c r="AW91" s="81" t="s">
        <v>77</v>
      </c>
      <c r="AX91" s="96"/>
      <c r="AY91" s="35">
        <v>0</v>
      </c>
      <c r="AZ91" s="17"/>
      <c r="BA91" s="35">
        <v>0</v>
      </c>
      <c r="BB91" s="17"/>
      <c r="BC91" s="35">
        <v>0</v>
      </c>
      <c r="BD91" s="17"/>
      <c r="BE91" s="35">
        <v>0</v>
      </c>
      <c r="BF91" s="17"/>
      <c r="BG91" s="35">
        <f t="shared" si="15"/>
        <v>0</v>
      </c>
      <c r="BH91" s="79"/>
    </row>
    <row r="92" spans="1:60" ht="12.75" hidden="1">
      <c r="A92" s="77" t="s">
        <v>78</v>
      </c>
      <c r="B92" s="96"/>
      <c r="C92" s="35">
        <f t="shared" si="13"/>
        <v>0</v>
      </c>
      <c r="D92" s="35"/>
      <c r="E92" s="35">
        <v>0</v>
      </c>
      <c r="F92" s="35"/>
      <c r="G92" s="35">
        <v>0</v>
      </c>
      <c r="H92" s="35"/>
      <c r="I92" s="35">
        <f t="shared" si="17"/>
        <v>0</v>
      </c>
      <c r="J92" s="35"/>
      <c r="K92" s="35">
        <f t="shared" si="16"/>
        <v>0</v>
      </c>
      <c r="L92" s="35"/>
      <c r="M92" s="35">
        <v>0</v>
      </c>
      <c r="N92" s="35"/>
      <c r="O92" s="35">
        <v>0</v>
      </c>
      <c r="P92" s="35"/>
      <c r="Q92" s="35">
        <v>0</v>
      </c>
      <c r="R92" s="35"/>
      <c r="S92" s="35">
        <v>0</v>
      </c>
      <c r="T92" s="35"/>
      <c r="U92" s="35">
        <f t="shared" si="18"/>
        <v>0</v>
      </c>
      <c r="V92" s="96"/>
      <c r="W92" s="81" t="s">
        <v>78</v>
      </c>
      <c r="X92" s="96"/>
      <c r="Y92" s="35">
        <v>0</v>
      </c>
      <c r="Z92" s="17"/>
      <c r="AA92" s="35">
        <v>0</v>
      </c>
      <c r="AB92" s="17"/>
      <c r="AC92" s="35">
        <v>0</v>
      </c>
      <c r="AD92" s="17"/>
      <c r="AE92" s="35">
        <f t="shared" si="19"/>
        <v>0</v>
      </c>
      <c r="AF92" s="40"/>
      <c r="AG92" s="35">
        <v>0</v>
      </c>
      <c r="AH92" s="40"/>
      <c r="AI92" s="35">
        <v>0</v>
      </c>
      <c r="AJ92" s="17"/>
      <c r="AK92" s="35">
        <v>0</v>
      </c>
      <c r="AL92" s="17"/>
      <c r="AM92" s="35">
        <v>0</v>
      </c>
      <c r="AN92" s="17"/>
      <c r="AO92" s="35">
        <f t="shared" si="20"/>
        <v>0</v>
      </c>
      <c r="AP92" s="40"/>
      <c r="AQ92" s="17">
        <v>0</v>
      </c>
      <c r="AR92" s="17"/>
      <c r="AS92" s="17">
        <v>0</v>
      </c>
      <c r="AT92" s="17"/>
      <c r="AU92" s="35">
        <f t="shared" si="21"/>
        <v>0</v>
      </c>
      <c r="AV92" s="96"/>
      <c r="AW92" s="81" t="s">
        <v>78</v>
      </c>
      <c r="AX92" s="96"/>
      <c r="AY92" s="35">
        <v>0</v>
      </c>
      <c r="AZ92" s="17"/>
      <c r="BA92" s="35">
        <v>0</v>
      </c>
      <c r="BB92" s="17"/>
      <c r="BC92" s="35">
        <v>0</v>
      </c>
      <c r="BD92" s="17"/>
      <c r="BE92" s="35">
        <v>0</v>
      </c>
      <c r="BF92" s="17"/>
      <c r="BG92" s="35">
        <f t="shared" si="15"/>
        <v>0</v>
      </c>
      <c r="BH92" s="79"/>
    </row>
    <row r="93" spans="1:60" ht="12.75" hidden="1">
      <c r="A93" s="77" t="s">
        <v>79</v>
      </c>
      <c r="B93" s="96"/>
      <c r="C93" s="35">
        <f aca="true" t="shared" si="22" ref="C93:C99">G93-E93</f>
        <v>0</v>
      </c>
      <c r="D93" s="35"/>
      <c r="E93" s="35">
        <v>0</v>
      </c>
      <c r="F93" s="35"/>
      <c r="G93" s="35">
        <v>0</v>
      </c>
      <c r="H93" s="35"/>
      <c r="I93" s="35">
        <f t="shared" si="17"/>
        <v>0</v>
      </c>
      <c r="J93" s="35"/>
      <c r="K93" s="35">
        <f t="shared" si="16"/>
        <v>0</v>
      </c>
      <c r="L93" s="35"/>
      <c r="M93" s="35">
        <v>0</v>
      </c>
      <c r="N93" s="35"/>
      <c r="O93" s="35">
        <v>0</v>
      </c>
      <c r="P93" s="35"/>
      <c r="Q93" s="35">
        <v>0</v>
      </c>
      <c r="R93" s="35"/>
      <c r="S93" s="35">
        <v>0</v>
      </c>
      <c r="T93" s="35"/>
      <c r="U93" s="35">
        <f t="shared" si="18"/>
        <v>0</v>
      </c>
      <c r="V93" s="96"/>
      <c r="W93" s="81" t="s">
        <v>79</v>
      </c>
      <c r="X93" s="96"/>
      <c r="Y93" s="35">
        <v>0</v>
      </c>
      <c r="Z93" s="17"/>
      <c r="AA93" s="35">
        <v>0</v>
      </c>
      <c r="AB93" s="17"/>
      <c r="AC93" s="35">
        <v>0</v>
      </c>
      <c r="AD93" s="17"/>
      <c r="AE93" s="35">
        <f t="shared" si="19"/>
        <v>0</v>
      </c>
      <c r="AF93" s="40"/>
      <c r="AG93" s="35">
        <v>0</v>
      </c>
      <c r="AH93" s="40"/>
      <c r="AI93" s="35">
        <v>0</v>
      </c>
      <c r="AJ93" s="17"/>
      <c r="AK93" s="35">
        <v>0</v>
      </c>
      <c r="AL93" s="17"/>
      <c r="AM93" s="35">
        <v>0</v>
      </c>
      <c r="AN93" s="17"/>
      <c r="AO93" s="35">
        <f t="shared" si="20"/>
        <v>0</v>
      </c>
      <c r="AP93" s="40"/>
      <c r="AQ93" s="17">
        <v>0</v>
      </c>
      <c r="AR93" s="17"/>
      <c r="AS93" s="17">
        <v>0</v>
      </c>
      <c r="AT93" s="17"/>
      <c r="AU93" s="35">
        <f t="shared" si="21"/>
        <v>0</v>
      </c>
      <c r="AV93" s="96"/>
      <c r="AW93" s="81" t="s">
        <v>79</v>
      </c>
      <c r="AX93" s="96"/>
      <c r="AY93" s="35">
        <v>0</v>
      </c>
      <c r="AZ93" s="17"/>
      <c r="BA93" s="35">
        <v>0</v>
      </c>
      <c r="BB93" s="17"/>
      <c r="BC93" s="35">
        <v>0</v>
      </c>
      <c r="BD93" s="17"/>
      <c r="BE93" s="35">
        <v>0</v>
      </c>
      <c r="BF93" s="17"/>
      <c r="BG93" s="35">
        <f aca="true" t="shared" si="23" ref="BG93:BG98">SUM(AY93:BE93)</f>
        <v>0</v>
      </c>
      <c r="BH93" s="79"/>
    </row>
    <row r="94" spans="1:60" ht="12.75" hidden="1">
      <c r="A94" s="77" t="s">
        <v>80</v>
      </c>
      <c r="B94" s="96"/>
      <c r="C94" s="35">
        <f t="shared" si="22"/>
        <v>0</v>
      </c>
      <c r="D94" s="35"/>
      <c r="E94" s="35">
        <v>0</v>
      </c>
      <c r="F94" s="35"/>
      <c r="G94" s="35">
        <v>0</v>
      </c>
      <c r="H94" s="35"/>
      <c r="I94" s="35">
        <f t="shared" si="17"/>
        <v>0</v>
      </c>
      <c r="J94" s="35"/>
      <c r="K94" s="35">
        <f t="shared" si="16"/>
        <v>0</v>
      </c>
      <c r="L94" s="35"/>
      <c r="M94" s="35">
        <v>0</v>
      </c>
      <c r="N94" s="35"/>
      <c r="O94" s="35">
        <v>0</v>
      </c>
      <c r="P94" s="35"/>
      <c r="Q94" s="35">
        <v>0</v>
      </c>
      <c r="R94" s="35"/>
      <c r="S94" s="35">
        <v>0</v>
      </c>
      <c r="T94" s="35"/>
      <c r="U94" s="35">
        <f t="shared" si="18"/>
        <v>0</v>
      </c>
      <c r="V94" s="96"/>
      <c r="W94" s="81" t="s">
        <v>80</v>
      </c>
      <c r="X94" s="96"/>
      <c r="Y94" s="35">
        <v>0</v>
      </c>
      <c r="Z94" s="17"/>
      <c r="AA94" s="35">
        <v>0</v>
      </c>
      <c r="AB94" s="17"/>
      <c r="AC94" s="35">
        <v>0</v>
      </c>
      <c r="AD94" s="17"/>
      <c r="AE94" s="35">
        <f t="shared" si="19"/>
        <v>0</v>
      </c>
      <c r="AF94" s="40"/>
      <c r="AG94" s="35">
        <v>0</v>
      </c>
      <c r="AH94" s="40"/>
      <c r="AI94" s="35">
        <v>0</v>
      </c>
      <c r="AJ94" s="17"/>
      <c r="AK94" s="35">
        <v>0</v>
      </c>
      <c r="AL94" s="17"/>
      <c r="AM94" s="35">
        <v>0</v>
      </c>
      <c r="AN94" s="17"/>
      <c r="AO94" s="35">
        <f t="shared" si="20"/>
        <v>0</v>
      </c>
      <c r="AP94" s="40"/>
      <c r="AQ94" s="17">
        <v>0</v>
      </c>
      <c r="AR94" s="17"/>
      <c r="AS94" s="17">
        <v>0</v>
      </c>
      <c r="AT94" s="17"/>
      <c r="AU94" s="35">
        <f t="shared" si="21"/>
        <v>0</v>
      </c>
      <c r="AV94" s="96"/>
      <c r="AW94" s="81" t="s">
        <v>80</v>
      </c>
      <c r="AX94" s="96"/>
      <c r="AY94" s="35">
        <v>0</v>
      </c>
      <c r="AZ94" s="17"/>
      <c r="BA94" s="35">
        <v>0</v>
      </c>
      <c r="BB94" s="17"/>
      <c r="BC94" s="35">
        <v>0</v>
      </c>
      <c r="BD94" s="17"/>
      <c r="BE94" s="35">
        <v>0</v>
      </c>
      <c r="BF94" s="17"/>
      <c r="BG94" s="35">
        <f t="shared" si="23"/>
        <v>0</v>
      </c>
      <c r="BH94" s="79"/>
    </row>
    <row r="95" spans="1:60" ht="12.75" hidden="1">
      <c r="A95" s="77" t="s">
        <v>81</v>
      </c>
      <c r="B95" s="96"/>
      <c r="C95" s="35">
        <f t="shared" si="22"/>
        <v>0</v>
      </c>
      <c r="D95" s="35"/>
      <c r="E95" s="35">
        <v>0</v>
      </c>
      <c r="F95" s="35"/>
      <c r="G95" s="35">
        <v>0</v>
      </c>
      <c r="H95" s="35"/>
      <c r="I95" s="35">
        <f t="shared" si="17"/>
        <v>0</v>
      </c>
      <c r="J95" s="35"/>
      <c r="K95" s="35">
        <f t="shared" si="16"/>
        <v>0</v>
      </c>
      <c r="L95" s="35"/>
      <c r="M95" s="35">
        <v>0</v>
      </c>
      <c r="N95" s="35"/>
      <c r="O95" s="35">
        <v>0</v>
      </c>
      <c r="P95" s="35"/>
      <c r="Q95" s="35">
        <v>0</v>
      </c>
      <c r="R95" s="35"/>
      <c r="S95" s="35">
        <v>0</v>
      </c>
      <c r="T95" s="35"/>
      <c r="U95" s="35">
        <f t="shared" si="18"/>
        <v>0</v>
      </c>
      <c r="V95" s="96"/>
      <c r="W95" s="81" t="s">
        <v>81</v>
      </c>
      <c r="X95" s="96"/>
      <c r="Y95" s="35">
        <v>0</v>
      </c>
      <c r="Z95" s="17"/>
      <c r="AA95" s="35">
        <v>0</v>
      </c>
      <c r="AB95" s="17"/>
      <c r="AC95" s="35">
        <v>0</v>
      </c>
      <c r="AD95" s="17"/>
      <c r="AE95" s="35">
        <f t="shared" si="19"/>
        <v>0</v>
      </c>
      <c r="AF95" s="40"/>
      <c r="AG95" s="35">
        <v>0</v>
      </c>
      <c r="AH95" s="40"/>
      <c r="AI95" s="35">
        <v>0</v>
      </c>
      <c r="AJ95" s="17"/>
      <c r="AK95" s="35">
        <v>0</v>
      </c>
      <c r="AL95" s="17"/>
      <c r="AM95" s="35">
        <v>0</v>
      </c>
      <c r="AN95" s="17"/>
      <c r="AO95" s="35">
        <f t="shared" si="20"/>
        <v>0</v>
      </c>
      <c r="AP95" s="40"/>
      <c r="AQ95" s="17">
        <v>0</v>
      </c>
      <c r="AR95" s="17"/>
      <c r="AS95" s="17">
        <v>0</v>
      </c>
      <c r="AT95" s="17"/>
      <c r="AU95" s="35">
        <f t="shared" si="21"/>
        <v>0</v>
      </c>
      <c r="AV95" s="96"/>
      <c r="AW95" s="81" t="s">
        <v>81</v>
      </c>
      <c r="AX95" s="96"/>
      <c r="AY95" s="35">
        <v>0</v>
      </c>
      <c r="AZ95" s="17"/>
      <c r="BA95" s="35">
        <v>0</v>
      </c>
      <c r="BB95" s="17"/>
      <c r="BC95" s="35">
        <v>0</v>
      </c>
      <c r="BD95" s="17"/>
      <c r="BE95" s="35">
        <v>0</v>
      </c>
      <c r="BF95" s="17"/>
      <c r="BG95" s="35">
        <f t="shared" si="23"/>
        <v>0</v>
      </c>
      <c r="BH95" s="79"/>
    </row>
    <row r="96" spans="1:60" ht="12.75" hidden="1">
      <c r="A96" s="77" t="s">
        <v>136</v>
      </c>
      <c r="B96" s="96"/>
      <c r="C96" s="35">
        <f t="shared" si="22"/>
        <v>0</v>
      </c>
      <c r="D96" s="35"/>
      <c r="E96" s="35">
        <v>0</v>
      </c>
      <c r="F96" s="35"/>
      <c r="G96" s="35">
        <v>0</v>
      </c>
      <c r="H96" s="35"/>
      <c r="I96" s="35">
        <f t="shared" si="17"/>
        <v>0</v>
      </c>
      <c r="J96" s="35"/>
      <c r="K96" s="35">
        <f t="shared" si="16"/>
        <v>0</v>
      </c>
      <c r="L96" s="35"/>
      <c r="M96" s="35">
        <v>0</v>
      </c>
      <c r="N96" s="35"/>
      <c r="O96" s="35">
        <v>0</v>
      </c>
      <c r="P96" s="35"/>
      <c r="Q96" s="35">
        <v>0</v>
      </c>
      <c r="R96" s="35"/>
      <c r="S96" s="35">
        <v>0</v>
      </c>
      <c r="T96" s="35"/>
      <c r="U96" s="35">
        <f t="shared" si="18"/>
        <v>0</v>
      </c>
      <c r="V96" s="96"/>
      <c r="W96" s="81" t="s">
        <v>136</v>
      </c>
      <c r="X96" s="96"/>
      <c r="Y96" s="35">
        <v>0</v>
      </c>
      <c r="Z96" s="17"/>
      <c r="AA96" s="35">
        <v>0</v>
      </c>
      <c r="AB96" s="17"/>
      <c r="AC96" s="35">
        <v>0</v>
      </c>
      <c r="AD96" s="17"/>
      <c r="AE96" s="35">
        <f t="shared" si="19"/>
        <v>0</v>
      </c>
      <c r="AF96" s="40"/>
      <c r="AG96" s="35">
        <v>0</v>
      </c>
      <c r="AH96" s="40"/>
      <c r="AI96" s="35">
        <v>0</v>
      </c>
      <c r="AJ96" s="17"/>
      <c r="AK96" s="35">
        <v>0</v>
      </c>
      <c r="AL96" s="17"/>
      <c r="AM96" s="35">
        <v>0</v>
      </c>
      <c r="AN96" s="17"/>
      <c r="AO96" s="35">
        <f t="shared" si="20"/>
        <v>0</v>
      </c>
      <c r="AP96" s="40"/>
      <c r="AQ96" s="17">
        <v>0</v>
      </c>
      <c r="AR96" s="17"/>
      <c r="AS96" s="17">
        <v>0</v>
      </c>
      <c r="AT96" s="17"/>
      <c r="AU96" s="35">
        <f t="shared" si="21"/>
        <v>0</v>
      </c>
      <c r="AV96" s="96"/>
      <c r="AW96" s="81" t="s">
        <v>136</v>
      </c>
      <c r="AX96" s="96"/>
      <c r="AY96" s="35">
        <v>0</v>
      </c>
      <c r="AZ96" s="17"/>
      <c r="BA96" s="35">
        <v>0</v>
      </c>
      <c r="BB96" s="17"/>
      <c r="BC96" s="35">
        <v>0</v>
      </c>
      <c r="BD96" s="17"/>
      <c r="BE96" s="35">
        <v>0</v>
      </c>
      <c r="BF96" s="17"/>
      <c r="BG96" s="35">
        <f t="shared" si="23"/>
        <v>0</v>
      </c>
      <c r="BH96" s="79"/>
    </row>
    <row r="97" spans="1:60" ht="12.75" hidden="1">
      <c r="A97" s="77" t="s">
        <v>174</v>
      </c>
      <c r="B97" s="96"/>
      <c r="C97" s="35">
        <f t="shared" si="22"/>
        <v>0</v>
      </c>
      <c r="D97" s="35"/>
      <c r="E97" s="35">
        <v>0</v>
      </c>
      <c r="F97" s="35"/>
      <c r="G97" s="35">
        <v>0</v>
      </c>
      <c r="H97" s="35"/>
      <c r="I97" s="35">
        <f t="shared" si="17"/>
        <v>0</v>
      </c>
      <c r="J97" s="35"/>
      <c r="K97" s="35">
        <f t="shared" si="16"/>
        <v>0</v>
      </c>
      <c r="L97" s="35"/>
      <c r="M97" s="35">
        <v>0</v>
      </c>
      <c r="N97" s="35"/>
      <c r="O97" s="35">
        <v>0</v>
      </c>
      <c r="P97" s="35"/>
      <c r="Q97" s="35">
        <v>0</v>
      </c>
      <c r="R97" s="35"/>
      <c r="S97" s="35">
        <v>0</v>
      </c>
      <c r="T97" s="35"/>
      <c r="U97" s="35">
        <f t="shared" si="18"/>
        <v>0</v>
      </c>
      <c r="V97" s="96"/>
      <c r="W97" s="81" t="s">
        <v>174</v>
      </c>
      <c r="X97" s="96"/>
      <c r="Y97" s="35">
        <v>0</v>
      </c>
      <c r="Z97" s="17"/>
      <c r="AA97" s="35">
        <v>0</v>
      </c>
      <c r="AB97" s="17"/>
      <c r="AC97" s="35">
        <v>0</v>
      </c>
      <c r="AD97" s="17"/>
      <c r="AE97" s="35">
        <f t="shared" si="19"/>
        <v>0</v>
      </c>
      <c r="AF97" s="40"/>
      <c r="AG97" s="35">
        <v>0</v>
      </c>
      <c r="AH97" s="40"/>
      <c r="AI97" s="35">
        <v>0</v>
      </c>
      <c r="AJ97" s="17"/>
      <c r="AK97" s="35">
        <v>0</v>
      </c>
      <c r="AL97" s="17"/>
      <c r="AM97" s="35">
        <v>0</v>
      </c>
      <c r="AN97" s="17"/>
      <c r="AO97" s="35">
        <f t="shared" si="20"/>
        <v>0</v>
      </c>
      <c r="AP97" s="40"/>
      <c r="AQ97" s="17">
        <v>0</v>
      </c>
      <c r="AR97" s="17"/>
      <c r="AS97" s="17">
        <v>0</v>
      </c>
      <c r="AT97" s="17"/>
      <c r="AU97" s="35">
        <f t="shared" si="21"/>
        <v>0</v>
      </c>
      <c r="AV97" s="96"/>
      <c r="AW97" s="81" t="s">
        <v>174</v>
      </c>
      <c r="AX97" s="96"/>
      <c r="AY97" s="35">
        <v>0</v>
      </c>
      <c r="AZ97" s="17"/>
      <c r="BA97" s="35">
        <v>0</v>
      </c>
      <c r="BB97" s="17"/>
      <c r="BC97" s="35">
        <v>0</v>
      </c>
      <c r="BD97" s="17"/>
      <c r="BE97" s="35">
        <v>0</v>
      </c>
      <c r="BF97" s="17"/>
      <c r="BG97" s="35">
        <f t="shared" si="23"/>
        <v>0</v>
      </c>
      <c r="BH97" s="79"/>
    </row>
    <row r="98" spans="1:60" ht="12.75">
      <c r="A98" s="77" t="s">
        <v>83</v>
      </c>
      <c r="B98" s="96"/>
      <c r="C98" s="35">
        <f t="shared" si="22"/>
        <v>2204569</v>
      </c>
      <c r="D98" s="35"/>
      <c r="E98" s="35">
        <v>3209685</v>
      </c>
      <c r="F98" s="35"/>
      <c r="G98" s="35">
        <v>5414254</v>
      </c>
      <c r="H98" s="35"/>
      <c r="I98" s="35">
        <f t="shared" si="17"/>
        <v>636554</v>
      </c>
      <c r="J98" s="35"/>
      <c r="K98" s="35">
        <f t="shared" si="16"/>
        <v>7100527</v>
      </c>
      <c r="L98" s="35"/>
      <c r="M98" s="35">
        <v>7737081</v>
      </c>
      <c r="N98" s="35"/>
      <c r="O98" s="35">
        <v>672268</v>
      </c>
      <c r="P98" s="35"/>
      <c r="Q98" s="35">
        <v>0</v>
      </c>
      <c r="R98" s="35"/>
      <c r="S98" s="35">
        <v>-2995095</v>
      </c>
      <c r="T98" s="35"/>
      <c r="U98" s="35">
        <f t="shared" si="18"/>
        <v>-2322827</v>
      </c>
      <c r="V98" s="35"/>
      <c r="W98" s="81" t="s">
        <v>83</v>
      </c>
      <c r="X98" s="35"/>
      <c r="Y98" s="35">
        <v>1797672</v>
      </c>
      <c r="Z98" s="17"/>
      <c r="AA98" s="35">
        <f>2215720-688160</f>
        <v>1527560</v>
      </c>
      <c r="AB98" s="17"/>
      <c r="AC98" s="35">
        <v>688160</v>
      </c>
      <c r="AD98" s="17"/>
      <c r="AE98" s="35">
        <f t="shared" si="19"/>
        <v>-418048</v>
      </c>
      <c r="AF98" s="40"/>
      <c r="AG98" s="35">
        <v>-130199</v>
      </c>
      <c r="AH98" s="40"/>
      <c r="AI98" s="35">
        <v>581735</v>
      </c>
      <c r="AJ98" s="17"/>
      <c r="AK98" s="35">
        <v>0</v>
      </c>
      <c r="AL98" s="17"/>
      <c r="AM98" s="35">
        <v>85000</v>
      </c>
      <c r="AN98" s="17"/>
      <c r="AO98" s="35">
        <f t="shared" si="20"/>
        <v>118488</v>
      </c>
      <c r="AP98" s="40"/>
      <c r="AQ98" s="17">
        <v>0</v>
      </c>
      <c r="AR98" s="17"/>
      <c r="AS98" s="17">
        <v>0</v>
      </c>
      <c r="AT98" s="17"/>
      <c r="AU98" s="35">
        <f t="shared" si="21"/>
        <v>1568015</v>
      </c>
      <c r="AV98" s="17"/>
      <c r="AW98" s="81" t="s">
        <v>83</v>
      </c>
      <c r="AX98" s="17"/>
      <c r="AY98" s="35">
        <v>481554</v>
      </c>
      <c r="AZ98" s="17"/>
      <c r="BA98" s="35">
        <v>0</v>
      </c>
      <c r="BB98" s="17"/>
      <c r="BC98" s="35">
        <v>0</v>
      </c>
      <c r="BD98" s="17"/>
      <c r="BE98" s="35">
        <f>19952+1568951+5030070</f>
        <v>6618973</v>
      </c>
      <c r="BF98" s="17"/>
      <c r="BG98" s="35">
        <f t="shared" si="23"/>
        <v>7100527</v>
      </c>
      <c r="BH98" s="79"/>
    </row>
    <row r="99" spans="1:60" ht="12.75" hidden="1">
      <c r="A99" s="77" t="s">
        <v>175</v>
      </c>
      <c r="B99" s="96"/>
      <c r="C99" s="35">
        <f t="shared" si="22"/>
        <v>0</v>
      </c>
      <c r="D99" s="35"/>
      <c r="E99" s="35">
        <v>0</v>
      </c>
      <c r="F99" s="35"/>
      <c r="G99" s="35">
        <v>0</v>
      </c>
      <c r="H99" s="35"/>
      <c r="I99" s="35">
        <f>M99-K99</f>
        <v>0</v>
      </c>
      <c r="J99" s="35"/>
      <c r="K99" s="35">
        <f>SUM(BG99)</f>
        <v>0</v>
      </c>
      <c r="L99" s="35"/>
      <c r="M99" s="35">
        <v>0</v>
      </c>
      <c r="N99" s="35"/>
      <c r="O99" s="35">
        <v>0</v>
      </c>
      <c r="P99" s="35"/>
      <c r="Q99" s="35">
        <v>0</v>
      </c>
      <c r="R99" s="35"/>
      <c r="S99" s="35">
        <v>0</v>
      </c>
      <c r="T99" s="35"/>
      <c r="U99" s="35">
        <f>SUM(O99:S99)</f>
        <v>0</v>
      </c>
      <c r="V99" s="96"/>
      <c r="W99" s="81" t="s">
        <v>175</v>
      </c>
      <c r="X99" s="96"/>
      <c r="Y99" s="35">
        <v>0</v>
      </c>
      <c r="Z99" s="17"/>
      <c r="AA99" s="35">
        <v>0</v>
      </c>
      <c r="AB99" s="17"/>
      <c r="AC99" s="35">
        <v>0</v>
      </c>
      <c r="AD99" s="17"/>
      <c r="AE99" s="35">
        <f>+Y99-AA99-AC99</f>
        <v>0</v>
      </c>
      <c r="AF99" s="40"/>
      <c r="AG99" s="35">
        <v>0</v>
      </c>
      <c r="AH99" s="40"/>
      <c r="AI99" s="35">
        <v>0</v>
      </c>
      <c r="AJ99" s="17"/>
      <c r="AK99" s="35">
        <v>0</v>
      </c>
      <c r="AL99" s="17"/>
      <c r="AM99" s="35">
        <v>0</v>
      </c>
      <c r="AN99" s="17"/>
      <c r="AO99" s="35">
        <f>+AE99+AG99+AI99-AK99+AM99</f>
        <v>0</v>
      </c>
      <c r="AP99" s="40"/>
      <c r="AQ99" s="17">
        <v>0</v>
      </c>
      <c r="AR99" s="17"/>
      <c r="AS99" s="17">
        <v>0</v>
      </c>
      <c r="AT99" s="17"/>
      <c r="AU99" s="35">
        <f>+C99-I99</f>
        <v>0</v>
      </c>
      <c r="AV99" s="96"/>
      <c r="AW99" s="81" t="s">
        <v>175</v>
      </c>
      <c r="AX99" s="96"/>
      <c r="AY99" s="35">
        <v>0</v>
      </c>
      <c r="AZ99" s="17"/>
      <c r="BA99" s="35">
        <v>0</v>
      </c>
      <c r="BB99" s="17"/>
      <c r="BC99" s="35">
        <v>0</v>
      </c>
      <c r="BD99" s="17"/>
      <c r="BE99" s="35">
        <v>0</v>
      </c>
      <c r="BF99" s="17"/>
      <c r="BG99" s="35">
        <f>SUM(AY99:BE99)</f>
        <v>0</v>
      </c>
      <c r="BH99" s="79"/>
    </row>
    <row r="100" spans="1:60" ht="12.75">
      <c r="A100" s="77"/>
      <c r="B100" s="69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1"/>
      <c r="X100" s="86"/>
      <c r="Y100" s="86"/>
      <c r="Z100" s="86"/>
      <c r="AA100" s="86"/>
      <c r="AB100" s="87"/>
      <c r="AC100" s="86"/>
      <c r="AD100" s="87"/>
      <c r="AE100" s="86"/>
      <c r="AF100" s="88"/>
      <c r="AG100" s="86"/>
      <c r="AH100" s="88"/>
      <c r="AI100" s="86"/>
      <c r="AJ100" s="88"/>
      <c r="AK100" s="86"/>
      <c r="AL100" s="88"/>
      <c r="AM100" s="86"/>
      <c r="AN100" s="83"/>
      <c r="AO100" s="86"/>
      <c r="AP100" s="83"/>
      <c r="AQ100" s="83"/>
      <c r="AR100" s="83"/>
      <c r="AS100" s="83"/>
      <c r="AT100" s="83"/>
      <c r="AU100" s="86"/>
      <c r="AV100" s="83"/>
      <c r="AW100" s="81"/>
      <c r="AX100" s="83"/>
      <c r="AY100" s="86"/>
      <c r="AZ100" s="83"/>
      <c r="BA100" s="86"/>
      <c r="BB100" s="83"/>
      <c r="BC100" s="86"/>
      <c r="BD100" s="83"/>
      <c r="BE100" s="86"/>
      <c r="BF100" s="83"/>
      <c r="BG100" s="86"/>
      <c r="BH100" s="79"/>
    </row>
    <row r="101" spans="1:60" ht="12.75">
      <c r="A101" s="77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7"/>
      <c r="X101" s="69"/>
      <c r="Y101" s="69"/>
      <c r="Z101" s="69"/>
      <c r="AA101" s="84"/>
      <c r="AB101" s="84"/>
      <c r="AC101" s="84"/>
      <c r="AD101" s="84"/>
      <c r="AE101" s="69"/>
      <c r="AF101" s="85"/>
      <c r="AG101" s="85"/>
      <c r="AH101" s="85"/>
      <c r="AI101" s="85"/>
      <c r="AJ101" s="85"/>
      <c r="AK101" s="85"/>
      <c r="AL101" s="85"/>
      <c r="AM101" s="79"/>
      <c r="AN101" s="79"/>
      <c r="AO101" s="69"/>
      <c r="AP101" s="79"/>
      <c r="AQ101" s="79"/>
      <c r="AR101" s="79"/>
      <c r="AS101" s="79"/>
      <c r="AT101" s="79"/>
      <c r="AU101" s="69"/>
      <c r="AV101" s="79"/>
      <c r="AW101" s="77"/>
      <c r="AX101" s="79"/>
      <c r="AY101" s="79"/>
      <c r="AZ101" s="79"/>
      <c r="BA101" s="79"/>
      <c r="BB101" s="79"/>
      <c r="BC101" s="79"/>
      <c r="BD101" s="79"/>
      <c r="BE101" s="79"/>
      <c r="BF101" s="79"/>
      <c r="BG101" s="69"/>
      <c r="BH101" s="79"/>
    </row>
    <row r="102" spans="1:60" ht="12.75">
      <c r="A102" s="77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7"/>
      <c r="X102" s="69"/>
      <c r="Y102" s="69"/>
      <c r="Z102" s="69"/>
      <c r="AA102" s="84"/>
      <c r="AB102" s="84"/>
      <c r="AC102" s="84"/>
      <c r="AD102" s="84"/>
      <c r="AE102" s="69"/>
      <c r="AF102" s="85"/>
      <c r="AG102" s="85"/>
      <c r="AH102" s="85"/>
      <c r="AI102" s="85"/>
      <c r="AJ102" s="85"/>
      <c r="AK102" s="85"/>
      <c r="AL102" s="85"/>
      <c r="AM102" s="79"/>
      <c r="AN102" s="79"/>
      <c r="AO102" s="69"/>
      <c r="AP102" s="79"/>
      <c r="AQ102" s="79"/>
      <c r="AR102" s="79"/>
      <c r="AS102" s="79"/>
      <c r="AT102" s="79"/>
      <c r="AU102" s="69"/>
      <c r="AV102" s="79"/>
      <c r="AW102" s="77"/>
      <c r="AX102" s="79"/>
      <c r="AY102" s="79"/>
      <c r="AZ102" s="79"/>
      <c r="BA102" s="79"/>
      <c r="BB102" s="79"/>
      <c r="BC102" s="79"/>
      <c r="BD102" s="79"/>
      <c r="BE102" s="79"/>
      <c r="BF102" s="79"/>
      <c r="BG102" s="69"/>
      <c r="BH102" s="79"/>
    </row>
    <row r="103" spans="1:60" ht="12.75">
      <c r="A103" s="77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7"/>
      <c r="X103" s="69"/>
      <c r="Y103" s="69"/>
      <c r="Z103" s="69"/>
      <c r="AA103" s="84"/>
      <c r="AB103" s="84"/>
      <c r="AC103" s="84"/>
      <c r="AD103" s="84"/>
      <c r="AE103" s="69"/>
      <c r="AF103" s="85"/>
      <c r="AG103" s="85"/>
      <c r="AH103" s="85"/>
      <c r="AI103" s="85"/>
      <c r="AJ103" s="85"/>
      <c r="AK103" s="85"/>
      <c r="AL103" s="85"/>
      <c r="AM103" s="79"/>
      <c r="AN103" s="79"/>
      <c r="AO103" s="69"/>
      <c r="AP103" s="79"/>
      <c r="AQ103" s="79"/>
      <c r="AR103" s="79"/>
      <c r="AS103" s="79"/>
      <c r="AT103" s="79"/>
      <c r="AU103" s="69"/>
      <c r="AV103" s="79"/>
      <c r="AW103" s="77"/>
      <c r="AX103" s="79"/>
      <c r="AY103" s="79"/>
      <c r="AZ103" s="79"/>
      <c r="BA103" s="79"/>
      <c r="BB103" s="79"/>
      <c r="BC103" s="79"/>
      <c r="BD103" s="79"/>
      <c r="BE103" s="79"/>
      <c r="BF103" s="79"/>
      <c r="BG103" s="69"/>
      <c r="BH103" s="79"/>
    </row>
    <row r="104" spans="1:60" ht="12.75">
      <c r="A104" s="77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84"/>
      <c r="AB104" s="84"/>
      <c r="AC104" s="84"/>
      <c r="AD104" s="84"/>
      <c r="AE104" s="69"/>
      <c r="AF104" s="85"/>
      <c r="AG104" s="85"/>
      <c r="AH104" s="85"/>
      <c r="AI104" s="85"/>
      <c r="AJ104" s="85"/>
      <c r="AK104" s="85"/>
      <c r="AL104" s="85"/>
      <c r="AM104" s="79"/>
      <c r="AN104" s="79"/>
      <c r="AO104" s="69"/>
      <c r="AP104" s="79"/>
      <c r="AQ104" s="79"/>
      <c r="AR104" s="79"/>
      <c r="AS104" s="79"/>
      <c r="AT104" s="79"/>
      <c r="AU104" s="69"/>
      <c r="AV104" s="79"/>
      <c r="AW104" s="69"/>
      <c r="AX104" s="79"/>
      <c r="AY104" s="79"/>
      <c r="AZ104" s="79"/>
      <c r="BA104" s="79"/>
      <c r="BB104" s="79"/>
      <c r="BC104" s="79"/>
      <c r="BD104" s="79"/>
      <c r="BE104" s="79"/>
      <c r="BF104" s="79"/>
      <c r="BG104" s="69"/>
      <c r="BH104" s="79"/>
    </row>
    <row r="105" spans="1:60" ht="12.75">
      <c r="A105" s="77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84"/>
      <c r="AB105" s="84"/>
      <c r="AC105" s="84"/>
      <c r="AD105" s="84"/>
      <c r="AE105" s="69"/>
      <c r="AF105" s="85"/>
      <c r="AG105" s="85"/>
      <c r="AH105" s="85"/>
      <c r="AI105" s="85"/>
      <c r="AJ105" s="85"/>
      <c r="AK105" s="85"/>
      <c r="AL105" s="85"/>
      <c r="AM105" s="79"/>
      <c r="AN105" s="79"/>
      <c r="AO105" s="69"/>
      <c r="AP105" s="79"/>
      <c r="AQ105" s="79"/>
      <c r="AR105" s="79"/>
      <c r="AS105" s="79"/>
      <c r="AT105" s="79"/>
      <c r="AU105" s="6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69"/>
      <c r="BH105" s="79"/>
    </row>
    <row r="106" spans="1:60" ht="12.75">
      <c r="A106" s="77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84"/>
      <c r="AB106" s="84"/>
      <c r="AC106" s="84"/>
      <c r="AD106" s="84"/>
      <c r="AE106" s="69"/>
      <c r="AF106" s="85"/>
      <c r="AG106" s="85"/>
      <c r="AH106" s="85"/>
      <c r="AI106" s="85"/>
      <c r="AJ106" s="85"/>
      <c r="AK106" s="85"/>
      <c r="AL106" s="85"/>
      <c r="AM106" s="79"/>
      <c r="AN106" s="79"/>
      <c r="AO106" s="69"/>
      <c r="AP106" s="79"/>
      <c r="AQ106" s="79"/>
      <c r="AR106" s="79"/>
      <c r="AS106" s="79"/>
      <c r="AT106" s="79"/>
      <c r="AU106" s="6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69"/>
      <c r="BH106" s="79"/>
    </row>
    <row r="107" spans="1:60" ht="12.75">
      <c r="A107" s="77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84"/>
      <c r="AB107" s="84"/>
      <c r="AC107" s="84"/>
      <c r="AD107" s="84"/>
      <c r="AE107" s="69"/>
      <c r="AF107" s="85"/>
      <c r="AG107" s="85"/>
      <c r="AH107" s="85"/>
      <c r="AI107" s="85"/>
      <c r="AJ107" s="85"/>
      <c r="AK107" s="85"/>
      <c r="AL107" s="85"/>
      <c r="AM107" s="79"/>
      <c r="AN107" s="79"/>
      <c r="AO107" s="69"/>
      <c r="AP107" s="79"/>
      <c r="AQ107" s="79"/>
      <c r="AR107" s="79"/>
      <c r="AS107" s="79"/>
      <c r="AT107" s="79"/>
      <c r="AU107" s="6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69"/>
      <c r="BH107" s="79"/>
    </row>
    <row r="108" spans="1:60" ht="12.75">
      <c r="A108" s="77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84"/>
      <c r="AB108" s="84"/>
      <c r="AC108" s="84"/>
      <c r="AD108" s="84"/>
      <c r="AE108" s="69"/>
      <c r="AF108" s="85"/>
      <c r="AG108" s="85"/>
      <c r="AH108" s="85"/>
      <c r="AI108" s="85"/>
      <c r="AJ108" s="85"/>
      <c r="AK108" s="85"/>
      <c r="AL108" s="85"/>
      <c r="AM108" s="79"/>
      <c r="AN108" s="79"/>
      <c r="AO108" s="69"/>
      <c r="AP108" s="79"/>
      <c r="AQ108" s="79"/>
      <c r="AR108" s="79"/>
      <c r="AS108" s="79"/>
      <c r="AT108" s="79"/>
      <c r="AU108" s="6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69"/>
      <c r="BH108" s="79"/>
    </row>
    <row r="109" spans="1:60" ht="12.75">
      <c r="A109" s="77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84"/>
      <c r="AB109" s="84"/>
      <c r="AC109" s="84"/>
      <c r="AD109" s="84"/>
      <c r="AE109" s="69"/>
      <c r="AF109" s="85"/>
      <c r="AG109" s="85"/>
      <c r="AH109" s="85"/>
      <c r="AI109" s="85"/>
      <c r="AJ109" s="85"/>
      <c r="AK109" s="85"/>
      <c r="AL109" s="85"/>
      <c r="AM109" s="79"/>
      <c r="AN109" s="79"/>
      <c r="AO109" s="69"/>
      <c r="AP109" s="79"/>
      <c r="AQ109" s="79"/>
      <c r="AR109" s="79"/>
      <c r="AS109" s="79"/>
      <c r="AT109" s="79"/>
      <c r="AU109" s="6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69"/>
      <c r="BH109" s="79"/>
    </row>
    <row r="110" spans="1:60" ht="12.75">
      <c r="A110" s="77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84"/>
      <c r="AB110" s="84"/>
      <c r="AC110" s="84"/>
      <c r="AD110" s="84"/>
      <c r="AE110" s="69"/>
      <c r="AF110" s="85"/>
      <c r="AG110" s="85"/>
      <c r="AH110" s="85"/>
      <c r="AI110" s="85"/>
      <c r="AJ110" s="85"/>
      <c r="AK110" s="85"/>
      <c r="AL110" s="85"/>
      <c r="AM110" s="79"/>
      <c r="AN110" s="79"/>
      <c r="AO110" s="69"/>
      <c r="AP110" s="79"/>
      <c r="AQ110" s="79"/>
      <c r="AR110" s="79"/>
      <c r="AS110" s="79"/>
      <c r="AT110" s="79"/>
      <c r="AU110" s="6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69"/>
      <c r="BH110" s="79"/>
    </row>
    <row r="111" spans="1:60" ht="12.75">
      <c r="A111" s="77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84"/>
      <c r="AB111" s="84"/>
      <c r="AC111" s="84"/>
      <c r="AD111" s="84"/>
      <c r="AE111" s="69"/>
      <c r="AF111" s="85"/>
      <c r="AG111" s="85"/>
      <c r="AH111" s="85"/>
      <c r="AI111" s="85"/>
      <c r="AJ111" s="85"/>
      <c r="AK111" s="85"/>
      <c r="AL111" s="85"/>
      <c r="AM111" s="79"/>
      <c r="AN111" s="79"/>
      <c r="AO111" s="69"/>
      <c r="AP111" s="79"/>
      <c r="AQ111" s="79"/>
      <c r="AR111" s="79"/>
      <c r="AS111" s="79"/>
      <c r="AT111" s="79"/>
      <c r="AU111" s="6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69"/>
      <c r="BH111" s="79"/>
    </row>
    <row r="112" spans="1:60" ht="12.75">
      <c r="A112" s="77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84"/>
      <c r="AB112" s="84"/>
      <c r="AC112" s="84"/>
      <c r="AD112" s="84"/>
      <c r="AE112" s="69"/>
      <c r="AF112" s="85"/>
      <c r="AG112" s="85"/>
      <c r="AH112" s="85"/>
      <c r="AI112" s="85"/>
      <c r="AJ112" s="85"/>
      <c r="AK112" s="85"/>
      <c r="AL112" s="85"/>
      <c r="AM112" s="79"/>
      <c r="AN112" s="79"/>
      <c r="AO112" s="69"/>
      <c r="AP112" s="79"/>
      <c r="AQ112" s="79"/>
      <c r="AR112" s="79"/>
      <c r="AS112" s="79"/>
      <c r="AT112" s="79"/>
      <c r="AU112" s="6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69"/>
      <c r="BH112" s="79"/>
    </row>
    <row r="113" spans="2:60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84"/>
      <c r="AB113" s="84"/>
      <c r="AC113" s="84"/>
      <c r="AD113" s="84"/>
      <c r="AE113" s="69"/>
      <c r="AF113" s="85"/>
      <c r="AG113" s="85"/>
      <c r="AH113" s="85"/>
      <c r="AI113" s="85"/>
      <c r="AJ113" s="85"/>
      <c r="AK113" s="85"/>
      <c r="AL113" s="85"/>
      <c r="AM113" s="79"/>
      <c r="AN113" s="79"/>
      <c r="AO113" s="69"/>
      <c r="AP113" s="79"/>
      <c r="AQ113" s="79"/>
      <c r="AR113" s="79"/>
      <c r="AS113" s="79"/>
      <c r="AT113" s="79"/>
      <c r="AU113" s="6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69"/>
      <c r="BH113" s="79"/>
    </row>
  </sheetData>
  <sheetProtection/>
  <printOptions/>
  <pageMargins left="1" right="1" top="0.5" bottom="0.5" header="0" footer="0.25"/>
  <pageSetup firstPageNumber="52" useFirstPageNumber="1" horizontalDpi="600" verticalDpi="600" orientation="portrait" scale="95" r:id="rId1"/>
  <headerFooter alignWithMargins="0">
    <oddFooter>&amp;C&amp;"Times New Roman,Regular"&amp;11&amp;P</oddFooter>
  </headerFooter>
  <colBreaks count="2" manualBreakCount="2">
    <brk id="22" max="97" man="1"/>
    <brk id="48" max="9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W109"/>
  <sheetViews>
    <sheetView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8" sqref="C28"/>
    </sheetView>
  </sheetViews>
  <sheetFormatPr defaultColWidth="9.140625" defaultRowHeight="12.75"/>
  <cols>
    <col min="1" max="1" width="20.421875" style="124" customWidth="1"/>
    <col min="2" max="2" width="1.7109375" style="124" customWidth="1"/>
    <col min="3" max="3" width="11.7109375" style="124" customWidth="1"/>
    <col min="4" max="4" width="1.7109375" style="124" customWidth="1"/>
    <col min="5" max="5" width="11.7109375" style="124" customWidth="1"/>
    <col min="6" max="6" width="1.7109375" style="124" customWidth="1"/>
    <col min="7" max="7" width="11.7109375" style="124" customWidth="1"/>
    <col min="8" max="8" width="1.7109375" style="124" customWidth="1"/>
    <col min="9" max="9" width="11.7109375" style="124" customWidth="1"/>
    <col min="10" max="10" width="1.7109375" style="124" customWidth="1"/>
    <col min="11" max="11" width="11.7109375" style="124" customWidth="1"/>
    <col min="12" max="12" width="1.7109375" style="124" customWidth="1"/>
    <col min="13" max="13" width="12.7109375" style="124" customWidth="1"/>
    <col min="14" max="14" width="1.7109375" style="124" customWidth="1"/>
    <col min="15" max="15" width="12.7109375" style="124" customWidth="1"/>
    <col min="16" max="16" width="1.7109375" style="124" customWidth="1"/>
    <col min="17" max="17" width="12.7109375" style="124" customWidth="1"/>
    <col min="18" max="18" width="10.140625" style="124" bestFit="1" customWidth="1"/>
    <col min="19" max="19" width="11.8515625" style="124" customWidth="1"/>
    <col min="20" max="20" width="10.140625" style="124" bestFit="1" customWidth="1"/>
    <col min="21" max="21" width="12.28125" style="97" bestFit="1" customWidth="1"/>
    <col min="22" max="22" width="9.140625" style="97" customWidth="1"/>
    <col min="23" max="23" width="11.140625" style="97" bestFit="1" customWidth="1"/>
    <col min="24" max="16384" width="9.140625" style="97" customWidth="1"/>
  </cols>
  <sheetData>
    <row r="1" spans="1:20" s="66" customFormat="1" ht="12.75">
      <c r="A1" s="63" t="s">
        <v>255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2"/>
      <c r="S1" s="42"/>
      <c r="T1" s="121"/>
    </row>
    <row r="2" spans="1:20" s="66" customFormat="1" ht="12.75">
      <c r="A2" s="63" t="s">
        <v>247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42"/>
      <c r="S2" s="42"/>
      <c r="T2" s="121"/>
    </row>
    <row r="3" spans="1:20" s="66" customFormat="1" ht="12.75">
      <c r="A3" s="6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2"/>
      <c r="S3" s="42"/>
      <c r="T3" s="121"/>
    </row>
    <row r="4" spans="1:20" s="66" customFormat="1" ht="12.75">
      <c r="A4" s="57" t="s">
        <v>184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2"/>
      <c r="S4" s="42"/>
      <c r="T4" s="121"/>
    </row>
    <row r="5" spans="1:19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32"/>
      <c r="S5" s="32"/>
    </row>
    <row r="6" spans="1:18" ht="12.75">
      <c r="A6" s="63" t="s">
        <v>253</v>
      </c>
      <c r="B6" s="19"/>
      <c r="C6" s="19" t="s">
        <v>103</v>
      </c>
      <c r="D6" s="19"/>
      <c r="E6" s="19" t="s">
        <v>2</v>
      </c>
      <c r="F6" s="19"/>
      <c r="G6" s="19"/>
      <c r="H6" s="19"/>
      <c r="I6" s="19"/>
      <c r="J6" s="19"/>
      <c r="K6" s="19"/>
      <c r="L6" s="19"/>
      <c r="M6" s="19"/>
      <c r="N6" s="19"/>
      <c r="O6" s="19" t="s">
        <v>124</v>
      </c>
      <c r="P6" s="19"/>
      <c r="Q6" s="19"/>
      <c r="R6" s="32"/>
    </row>
    <row r="7" spans="1:21" ht="12.75">
      <c r="A7" s="19"/>
      <c r="B7" s="19"/>
      <c r="C7" s="19" t="s">
        <v>107</v>
      </c>
      <c r="D7" s="19"/>
      <c r="E7" s="19" t="s">
        <v>127</v>
      </c>
      <c r="F7" s="19"/>
      <c r="G7" s="19" t="s">
        <v>126</v>
      </c>
      <c r="H7" s="19"/>
      <c r="I7" s="19" t="s">
        <v>114</v>
      </c>
      <c r="J7" s="19"/>
      <c r="K7" s="19" t="s">
        <v>87</v>
      </c>
      <c r="L7" s="19"/>
      <c r="M7" s="19" t="s">
        <v>125</v>
      </c>
      <c r="N7" s="19"/>
      <c r="O7" s="19" t="s">
        <v>105</v>
      </c>
      <c r="P7" s="19"/>
      <c r="Q7" s="19" t="s">
        <v>4</v>
      </c>
      <c r="R7" s="32"/>
      <c r="S7" s="32" t="s">
        <v>220</v>
      </c>
      <c r="U7" s="97" t="s">
        <v>218</v>
      </c>
    </row>
    <row r="8" spans="1:21" ht="12.75">
      <c r="A8" s="22" t="s">
        <v>5</v>
      </c>
      <c r="B8" s="19"/>
      <c r="C8" s="22" t="s">
        <v>113</v>
      </c>
      <c r="D8" s="19"/>
      <c r="E8" s="22" t="s">
        <v>113</v>
      </c>
      <c r="F8" s="19"/>
      <c r="G8" s="22" t="s">
        <v>130</v>
      </c>
      <c r="H8" s="19"/>
      <c r="I8" s="22" t="s">
        <v>131</v>
      </c>
      <c r="J8" s="19"/>
      <c r="K8" s="22" t="s">
        <v>128</v>
      </c>
      <c r="L8" s="19"/>
      <c r="M8" s="22" t="s">
        <v>129</v>
      </c>
      <c r="N8" s="19"/>
      <c r="O8" s="22" t="s">
        <v>122</v>
      </c>
      <c r="P8" s="19"/>
      <c r="Q8" s="22" t="s">
        <v>122</v>
      </c>
      <c r="R8" s="23"/>
      <c r="S8" s="123" t="s">
        <v>221</v>
      </c>
      <c r="U8" s="125" t="s">
        <v>222</v>
      </c>
    </row>
    <row r="9" spans="1:2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3"/>
      <c r="S9" s="23"/>
      <c r="U9" s="98"/>
    </row>
    <row r="10" spans="1:21" ht="12.75" hidden="1">
      <c r="A10" s="89" t="s">
        <v>237</v>
      </c>
      <c r="B10" s="19"/>
      <c r="C10" s="47">
        <v>0</v>
      </c>
      <c r="D10" s="47"/>
      <c r="E10" s="47">
        <v>0</v>
      </c>
      <c r="F10" s="47"/>
      <c r="G10" s="47">
        <v>0</v>
      </c>
      <c r="H10" s="47"/>
      <c r="I10" s="47">
        <v>0</v>
      </c>
      <c r="J10" s="47"/>
      <c r="K10" s="47">
        <v>0</v>
      </c>
      <c r="L10" s="47"/>
      <c r="M10" s="47">
        <v>0</v>
      </c>
      <c r="N10" s="47"/>
      <c r="O10" s="47">
        <v>0</v>
      </c>
      <c r="P10" s="47"/>
      <c r="Q10" s="47">
        <f>SUM(C10:O10)</f>
        <v>0</v>
      </c>
      <c r="R10" s="37"/>
      <c r="S10" s="47">
        <v>0</v>
      </c>
      <c r="U10" s="96">
        <f>+Q10-'St of Net Assets - GA'!M10-'LT _Lia - GA'!S10</f>
        <v>0</v>
      </c>
    </row>
    <row r="11" spans="1:23" ht="12.75">
      <c r="A11" s="32" t="s">
        <v>13</v>
      </c>
      <c r="B11" s="32"/>
      <c r="C11" s="47">
        <v>11213999</v>
      </c>
      <c r="D11" s="47"/>
      <c r="E11" s="47">
        <f>5769523-163523</f>
        <v>5606000</v>
      </c>
      <c r="F11" s="47"/>
      <c r="G11" s="47">
        <v>6805000</v>
      </c>
      <c r="H11" s="47"/>
      <c r="I11" s="47">
        <v>2332494</v>
      </c>
      <c r="J11" s="47"/>
      <c r="K11" s="47">
        <v>114201</v>
      </c>
      <c r="L11" s="47"/>
      <c r="M11" s="47">
        <v>3014407</v>
      </c>
      <c r="N11" s="47"/>
      <c r="O11" s="47">
        <v>406000</v>
      </c>
      <c r="P11" s="47"/>
      <c r="Q11" s="47">
        <f>SUM(C11:O11)</f>
        <v>29492101</v>
      </c>
      <c r="R11" s="37"/>
      <c r="S11" s="47">
        <v>9977135</v>
      </c>
      <c r="U11" s="96">
        <f>+Q11-'St of Net Assets - GA'!M11-'LT _Lia - GA'!S11</f>
        <v>0</v>
      </c>
      <c r="W11" s="96"/>
    </row>
    <row r="12" spans="1:21" ht="12.75">
      <c r="A12" s="32" t="s">
        <v>14</v>
      </c>
      <c r="B12" s="32"/>
      <c r="C12" s="30">
        <v>3825000</v>
      </c>
      <c r="D12" s="30"/>
      <c r="E12" s="30">
        <v>0</v>
      </c>
      <c r="F12" s="30"/>
      <c r="G12" s="30">
        <v>0</v>
      </c>
      <c r="H12" s="30"/>
      <c r="I12" s="30">
        <v>22557</v>
      </c>
      <c r="J12" s="30"/>
      <c r="K12" s="30">
        <v>0</v>
      </c>
      <c r="L12" s="30"/>
      <c r="M12" s="30">
        <v>991246</v>
      </c>
      <c r="N12" s="30"/>
      <c r="O12" s="30">
        <v>0</v>
      </c>
      <c r="P12" s="30"/>
      <c r="Q12" s="30">
        <f aca="true" t="shared" si="0" ref="Q12:Q28">SUM(C12:O12)</f>
        <v>4838803</v>
      </c>
      <c r="R12" s="37"/>
      <c r="S12" s="30">
        <v>747001</v>
      </c>
      <c r="U12" s="96">
        <f>+Q12-'St of Net Assets - GA'!M12-'LT _Lia - GA'!S12</f>
        <v>0</v>
      </c>
    </row>
    <row r="13" spans="1:21" ht="12.75">
      <c r="A13" s="32" t="s">
        <v>15</v>
      </c>
      <c r="B13" s="32"/>
      <c r="C13" s="30">
        <v>5442766</v>
      </c>
      <c r="D13" s="30"/>
      <c r="E13" s="30">
        <v>0</v>
      </c>
      <c r="F13" s="30"/>
      <c r="G13" s="30">
        <v>0</v>
      </c>
      <c r="H13" s="30"/>
      <c r="I13" s="30">
        <v>125000</v>
      </c>
      <c r="J13" s="30"/>
      <c r="K13" s="30">
        <v>389700</v>
      </c>
      <c r="L13" s="30"/>
      <c r="M13" s="30">
        <v>2714914</v>
      </c>
      <c r="N13" s="30"/>
      <c r="O13" s="30">
        <f>98623+89356</f>
        <v>187979</v>
      </c>
      <c r="P13" s="30"/>
      <c r="Q13" s="30">
        <f t="shared" si="0"/>
        <v>8860359</v>
      </c>
      <c r="R13" s="37"/>
      <c r="S13" s="30">
        <v>2264023</v>
      </c>
      <c r="U13" s="96">
        <f>+Q13-'St of Net Assets - GA'!M13-'LT _Lia - GA'!S13</f>
        <v>-59816</v>
      </c>
    </row>
    <row r="14" spans="1:21" ht="12.75">
      <c r="A14" s="32" t="s">
        <v>16</v>
      </c>
      <c r="B14" s="32"/>
      <c r="C14" s="30">
        <f>1560000+854000</f>
        <v>2414000</v>
      </c>
      <c r="D14" s="30"/>
      <c r="E14" s="30">
        <v>0</v>
      </c>
      <c r="F14" s="30"/>
      <c r="G14" s="30">
        <v>0</v>
      </c>
      <c r="H14" s="30"/>
      <c r="I14" s="30">
        <f>766681</f>
        <v>766681</v>
      </c>
      <c r="J14" s="30"/>
      <c r="K14" s="30">
        <v>143246</v>
      </c>
      <c r="L14" s="30"/>
      <c r="M14" s="30">
        <v>2323864</v>
      </c>
      <c r="N14" s="30"/>
      <c r="O14" s="30">
        <f>2700372+11276</f>
        <v>2711648</v>
      </c>
      <c r="P14" s="30"/>
      <c r="Q14" s="30">
        <f t="shared" si="0"/>
        <v>8359439</v>
      </c>
      <c r="R14" s="37"/>
      <c r="S14" s="30">
        <v>1770757</v>
      </c>
      <c r="U14" s="96">
        <f>+Q14-'St of Net Assets - GA'!M14-'LT _Lia - GA'!S14</f>
        <v>26304</v>
      </c>
    </row>
    <row r="15" spans="1:21" ht="12.75">
      <c r="A15" s="32" t="s">
        <v>17</v>
      </c>
      <c r="B15" s="32"/>
      <c r="C15" s="30">
        <v>380000</v>
      </c>
      <c r="D15" s="30"/>
      <c r="E15" s="30">
        <v>1005000</v>
      </c>
      <c r="F15" s="30"/>
      <c r="G15" s="30">
        <v>522049</v>
      </c>
      <c r="H15" s="30"/>
      <c r="I15" s="30">
        <v>81832</v>
      </c>
      <c r="J15" s="30"/>
      <c r="K15" s="30">
        <v>0</v>
      </c>
      <c r="L15" s="30"/>
      <c r="M15" s="30">
        <v>1662992</v>
      </c>
      <c r="N15" s="30"/>
      <c r="O15" s="30">
        <v>0</v>
      </c>
      <c r="P15" s="30"/>
      <c r="Q15" s="30">
        <f t="shared" si="0"/>
        <v>3651873</v>
      </c>
      <c r="R15" s="37"/>
      <c r="S15" s="30">
        <v>973674</v>
      </c>
      <c r="U15" s="96">
        <f>+Q15-'St of Net Assets - GA'!M15-'LT _Lia - GA'!S15</f>
        <v>-4734</v>
      </c>
    </row>
    <row r="16" spans="1:21" ht="12.75">
      <c r="A16" s="32" t="s">
        <v>18</v>
      </c>
      <c r="B16" s="32"/>
      <c r="C16" s="30">
        <v>7118558</v>
      </c>
      <c r="D16" s="30"/>
      <c r="E16" s="30">
        <v>0</v>
      </c>
      <c r="F16" s="30"/>
      <c r="G16" s="30">
        <v>0</v>
      </c>
      <c r="H16" s="30"/>
      <c r="I16" s="30">
        <v>257144</v>
      </c>
      <c r="J16" s="30"/>
      <c r="K16" s="30">
        <v>101816</v>
      </c>
      <c r="L16" s="30"/>
      <c r="M16" s="30">
        <v>3190454</v>
      </c>
      <c r="N16" s="30"/>
      <c r="O16" s="30">
        <v>0</v>
      </c>
      <c r="P16" s="30"/>
      <c r="Q16" s="30">
        <f t="shared" si="0"/>
        <v>10667972</v>
      </c>
      <c r="R16" s="37"/>
      <c r="S16" s="30">
        <v>1687014</v>
      </c>
      <c r="U16" s="96">
        <f>+Q16-'St of Net Assets - GA'!M16-'LT _Lia - GA'!S16</f>
        <v>0</v>
      </c>
    </row>
    <row r="17" spans="1:21" s="124" customFormat="1" ht="12.75" hidden="1">
      <c r="A17" s="32" t="s">
        <v>240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f t="shared" si="0"/>
        <v>0</v>
      </c>
      <c r="R17" s="37"/>
      <c r="S17" s="30"/>
      <c r="U17" s="96">
        <f>+Q17-'St of Net Assets - GA'!M17-'LT _Lia - GA'!S17</f>
        <v>0</v>
      </c>
    </row>
    <row r="18" spans="1:21" ht="12.75">
      <c r="A18" s="32" t="s">
        <v>19</v>
      </c>
      <c r="B18" s="32"/>
      <c r="C18" s="30">
        <f>61605330+26532756</f>
        <v>88138086</v>
      </c>
      <c r="D18" s="30"/>
      <c r="E18" s="30">
        <v>9466643</v>
      </c>
      <c r="F18" s="30"/>
      <c r="G18" s="30">
        <v>0</v>
      </c>
      <c r="H18" s="30"/>
      <c r="I18" s="30">
        <v>1450004</v>
      </c>
      <c r="J18" s="30"/>
      <c r="K18" s="30">
        <v>2532262</v>
      </c>
      <c r="L18" s="30"/>
      <c r="M18" s="30">
        <v>7658299</v>
      </c>
      <c r="N18" s="30"/>
      <c r="O18" s="30">
        <v>3839432</v>
      </c>
      <c r="P18" s="30"/>
      <c r="Q18" s="30">
        <f t="shared" si="0"/>
        <v>113084726</v>
      </c>
      <c r="R18" s="37"/>
      <c r="S18" s="30">
        <v>10748079</v>
      </c>
      <c r="U18" s="96">
        <f>+Q18-'St of Net Assets - GA'!M18-'LT _Lia - GA'!S18</f>
        <v>0</v>
      </c>
    </row>
    <row r="19" spans="1:21" ht="12.75">
      <c r="A19" s="32" t="s">
        <v>20</v>
      </c>
      <c r="B19" s="32"/>
      <c r="C19" s="30">
        <v>70000</v>
      </c>
      <c r="D19" s="30"/>
      <c r="E19" s="30">
        <v>14000</v>
      </c>
      <c r="F19" s="30"/>
      <c r="G19" s="30">
        <v>0</v>
      </c>
      <c r="H19" s="30"/>
      <c r="I19" s="30">
        <v>4884</v>
      </c>
      <c r="J19" s="30"/>
      <c r="K19" s="30">
        <v>137523</v>
      </c>
      <c r="L19" s="30"/>
      <c r="M19" s="30">
        <v>1057302</v>
      </c>
      <c r="N19" s="30"/>
      <c r="O19" s="30">
        <v>40000</v>
      </c>
      <c r="P19" s="30"/>
      <c r="Q19" s="30">
        <f t="shared" si="0"/>
        <v>1323709</v>
      </c>
      <c r="R19" s="37"/>
      <c r="S19" s="30">
        <v>207915</v>
      </c>
      <c r="U19" s="96">
        <f>+Q19-'St of Net Assets - GA'!M19-'LT _Lia - GA'!S19</f>
        <v>0</v>
      </c>
    </row>
    <row r="20" spans="1:21" ht="12.75" hidden="1">
      <c r="A20" s="23" t="s">
        <v>173</v>
      </c>
      <c r="B20" s="23"/>
      <c r="C20" s="30">
        <v>0</v>
      </c>
      <c r="D20" s="30"/>
      <c r="E20" s="30">
        <v>0</v>
      </c>
      <c r="F20" s="30"/>
      <c r="G20" s="30">
        <v>0</v>
      </c>
      <c r="H20" s="30"/>
      <c r="I20" s="30">
        <v>0</v>
      </c>
      <c r="J20" s="30"/>
      <c r="K20" s="30">
        <v>0</v>
      </c>
      <c r="L20" s="30"/>
      <c r="M20" s="30">
        <v>0</v>
      </c>
      <c r="N20" s="30"/>
      <c r="O20" s="30">
        <v>0</v>
      </c>
      <c r="P20" s="30"/>
      <c r="Q20" s="30">
        <f t="shared" si="0"/>
        <v>0</v>
      </c>
      <c r="R20" s="37"/>
      <c r="S20" s="30">
        <v>0</v>
      </c>
      <c r="U20" s="96">
        <f>+Q20-'St of Net Assets - GA'!M20-'LT _Lia - GA'!S20</f>
        <v>0</v>
      </c>
    </row>
    <row r="21" spans="1:21" ht="12.75">
      <c r="A21" s="32" t="s">
        <v>21</v>
      </c>
      <c r="B21" s="32"/>
      <c r="C21" s="30">
        <f>14380000+206782-5623</f>
        <v>14581159</v>
      </c>
      <c r="D21" s="30"/>
      <c r="E21" s="30">
        <v>0</v>
      </c>
      <c r="F21" s="30"/>
      <c r="G21" s="30">
        <v>0</v>
      </c>
      <c r="H21" s="30"/>
      <c r="I21" s="30">
        <v>0</v>
      </c>
      <c r="J21" s="30"/>
      <c r="K21" s="30">
        <v>0</v>
      </c>
      <c r="L21" s="30"/>
      <c r="M21" s="30">
        <v>5929076</v>
      </c>
      <c r="N21" s="30"/>
      <c r="O21" s="30">
        <v>0</v>
      </c>
      <c r="P21" s="30"/>
      <c r="Q21" s="30">
        <f t="shared" si="0"/>
        <v>20510235</v>
      </c>
      <c r="R21" s="37"/>
      <c r="S21" s="30">
        <v>1003799</v>
      </c>
      <c r="U21" s="96">
        <f>+Q21-'St of Net Assets - GA'!M21-'LT _Lia - GA'!S21</f>
        <v>5929076</v>
      </c>
    </row>
    <row r="22" spans="1:21" ht="12.75">
      <c r="A22" s="32" t="s">
        <v>181</v>
      </c>
      <c r="B22" s="32"/>
      <c r="C22" s="30">
        <v>18125000</v>
      </c>
      <c r="D22" s="30"/>
      <c r="E22" s="30">
        <v>6442000</v>
      </c>
      <c r="F22" s="30"/>
      <c r="G22" s="30">
        <v>0</v>
      </c>
      <c r="H22" s="30"/>
      <c r="I22" s="30">
        <v>1160378</v>
      </c>
      <c r="J22" s="30"/>
      <c r="K22" s="30">
        <v>0</v>
      </c>
      <c r="L22" s="30"/>
      <c r="M22" s="30">
        <v>4816655</v>
      </c>
      <c r="N22" s="30"/>
      <c r="O22" s="30">
        <v>0</v>
      </c>
      <c r="P22" s="30"/>
      <c r="Q22" s="30">
        <f t="shared" si="0"/>
        <v>30544033</v>
      </c>
      <c r="R22" s="37"/>
      <c r="S22" s="30">
        <v>7095840</v>
      </c>
      <c r="U22" s="96">
        <f>+Q22-'St of Net Assets - GA'!M22-'LT _Lia - GA'!S22</f>
        <v>0</v>
      </c>
    </row>
    <row r="23" spans="1:21" ht="14.25" customHeight="1">
      <c r="A23" s="32" t="s">
        <v>22</v>
      </c>
      <c r="B23" s="32"/>
      <c r="C23" s="30">
        <v>3595000</v>
      </c>
      <c r="D23" s="30"/>
      <c r="E23" s="30">
        <v>22553</v>
      </c>
      <c r="F23" s="30"/>
      <c r="G23" s="30">
        <v>9208128</v>
      </c>
      <c r="H23" s="30"/>
      <c r="I23" s="30">
        <v>0</v>
      </c>
      <c r="J23" s="30"/>
      <c r="K23" s="30">
        <v>109969</v>
      </c>
      <c r="L23" s="30"/>
      <c r="M23" s="30">
        <v>1222301</v>
      </c>
      <c r="N23" s="30"/>
      <c r="O23" s="30">
        <v>0</v>
      </c>
      <c r="P23" s="30"/>
      <c r="Q23" s="30">
        <f t="shared" si="0"/>
        <v>14157951</v>
      </c>
      <c r="R23" s="37"/>
      <c r="S23" s="30">
        <v>2300896</v>
      </c>
      <c r="U23" s="96">
        <f>+Q23-'St of Net Assets - GA'!M23-'LT _Lia - GA'!S23</f>
        <v>0</v>
      </c>
    </row>
    <row r="24" spans="1:21" ht="12.75" hidden="1">
      <c r="A24" s="32" t="s">
        <v>23</v>
      </c>
      <c r="B24" s="32"/>
      <c r="C24" s="30">
        <v>0</v>
      </c>
      <c r="D24" s="30"/>
      <c r="E24" s="30">
        <v>0</v>
      </c>
      <c r="F24" s="30"/>
      <c r="G24" s="30">
        <v>0</v>
      </c>
      <c r="H24" s="30"/>
      <c r="I24" s="30">
        <v>0</v>
      </c>
      <c r="J24" s="30"/>
      <c r="K24" s="30">
        <v>0</v>
      </c>
      <c r="L24" s="30"/>
      <c r="M24" s="30">
        <v>0</v>
      </c>
      <c r="N24" s="30"/>
      <c r="O24" s="30">
        <v>0</v>
      </c>
      <c r="P24" s="30"/>
      <c r="Q24" s="30">
        <f t="shared" si="0"/>
        <v>0</v>
      </c>
      <c r="R24" s="37"/>
      <c r="S24" s="30">
        <v>0</v>
      </c>
      <c r="U24" s="96">
        <f>+Q24-'St of Net Assets - GA'!M24-'LT _Lia - GA'!S24</f>
        <v>0</v>
      </c>
    </row>
    <row r="25" spans="1:21" ht="12.75">
      <c r="A25" s="32" t="s">
        <v>24</v>
      </c>
      <c r="B25" s="32"/>
      <c r="C25" s="30">
        <v>3876832</v>
      </c>
      <c r="D25" s="30"/>
      <c r="E25" s="30">
        <v>0</v>
      </c>
      <c r="F25" s="30"/>
      <c r="G25" s="30">
        <v>90000</v>
      </c>
      <c r="H25" s="30"/>
      <c r="I25" s="30">
        <v>572714</v>
      </c>
      <c r="J25" s="30"/>
      <c r="K25" s="30">
        <v>123850</v>
      </c>
      <c r="L25" s="30"/>
      <c r="M25" s="30">
        <v>1108458</v>
      </c>
      <c r="N25" s="30"/>
      <c r="O25" s="30">
        <v>0</v>
      </c>
      <c r="P25" s="30"/>
      <c r="Q25" s="30">
        <f t="shared" si="0"/>
        <v>5771854</v>
      </c>
      <c r="R25" s="37"/>
      <c r="S25" s="30">
        <v>967849</v>
      </c>
      <c r="U25" s="96">
        <f>+Q25-'St of Net Assets - GA'!M25-'LT _Lia - GA'!S25</f>
        <v>0</v>
      </c>
    </row>
    <row r="26" spans="1:21" ht="12.75">
      <c r="A26" s="32" t="s">
        <v>243</v>
      </c>
      <c r="B26" s="32"/>
      <c r="C26" s="30">
        <v>12162049</v>
      </c>
      <c r="D26" s="30"/>
      <c r="E26" s="30">
        <v>0</v>
      </c>
      <c r="F26" s="30"/>
      <c r="G26" s="30">
        <v>0</v>
      </c>
      <c r="H26" s="30"/>
      <c r="I26" s="30">
        <v>0</v>
      </c>
      <c r="J26" s="30"/>
      <c r="K26" s="30">
        <v>0</v>
      </c>
      <c r="L26" s="30"/>
      <c r="M26" s="30">
        <v>1000959</v>
      </c>
      <c r="N26" s="30"/>
      <c r="O26" s="30">
        <v>0</v>
      </c>
      <c r="P26" s="30"/>
      <c r="Q26" s="30">
        <f t="shared" si="0"/>
        <v>13163008</v>
      </c>
      <c r="R26" s="37"/>
      <c r="S26" s="30">
        <v>565000</v>
      </c>
      <c r="U26" s="96">
        <f>+Q26-'St of Net Assets - GA'!M26-'LT _Lia - GA'!S26</f>
        <v>0</v>
      </c>
    </row>
    <row r="27" spans="1:21" ht="12.75">
      <c r="A27" s="32" t="s">
        <v>25</v>
      </c>
      <c r="B27" s="32"/>
      <c r="C27" s="30">
        <f>188814*1000</f>
        <v>188814000</v>
      </c>
      <c r="D27" s="30"/>
      <c r="E27" s="30">
        <f>(101905+10481)*1000</f>
        <v>112386000</v>
      </c>
      <c r="F27" s="30"/>
      <c r="G27" s="30">
        <v>0</v>
      </c>
      <c r="H27" s="30"/>
      <c r="I27" s="30">
        <f>6784*1000</f>
        <v>6784000</v>
      </c>
      <c r="J27" s="30"/>
      <c r="K27" s="30">
        <f>(28646+4268+2564)*1000</f>
        <v>35478000</v>
      </c>
      <c r="L27" s="30"/>
      <c r="M27" s="30">
        <f>(28058)*1000</f>
        <v>28058000</v>
      </c>
      <c r="N27" s="30"/>
      <c r="O27" s="30">
        <v>0</v>
      </c>
      <c r="P27" s="30"/>
      <c r="Q27" s="30">
        <f t="shared" si="0"/>
        <v>371520000</v>
      </c>
      <c r="R27" s="37"/>
      <c r="S27" s="30">
        <f>28115*1000</f>
        <v>28115000</v>
      </c>
      <c r="U27" s="96">
        <f>+Q27-'St of Net Assets - GA'!M27-'LT _Lia - GA'!S27</f>
        <v>0</v>
      </c>
    </row>
    <row r="28" spans="1:21" ht="12.75">
      <c r="A28" s="32" t="s">
        <v>26</v>
      </c>
      <c r="B28" s="32"/>
      <c r="C28" s="30">
        <v>3645000</v>
      </c>
      <c r="D28" s="30"/>
      <c r="E28" s="30">
        <v>0</v>
      </c>
      <c r="F28" s="30"/>
      <c r="G28" s="30">
        <v>569358</v>
      </c>
      <c r="H28" s="30"/>
      <c r="I28" s="30">
        <v>0</v>
      </c>
      <c r="J28" s="30"/>
      <c r="K28" s="30">
        <v>11378</v>
      </c>
      <c r="L28" s="30"/>
      <c r="M28" s="30">
        <v>1551994</v>
      </c>
      <c r="N28" s="30"/>
      <c r="O28" s="30">
        <v>0</v>
      </c>
      <c r="P28" s="30"/>
      <c r="Q28" s="30">
        <f t="shared" si="0"/>
        <v>5777730</v>
      </c>
      <c r="R28" s="37"/>
      <c r="S28" s="30">
        <v>1015960</v>
      </c>
      <c r="U28" s="96">
        <f>+Q28-'St of Net Assets - GA'!M28-'LT _Lia - GA'!S28</f>
        <v>0</v>
      </c>
    </row>
    <row r="29" spans="1:21" ht="12.75">
      <c r="A29" s="32" t="s">
        <v>27</v>
      </c>
      <c r="B29" s="32"/>
      <c r="C29" s="30">
        <v>2205000</v>
      </c>
      <c r="D29" s="30"/>
      <c r="E29" s="30">
        <v>1085000</v>
      </c>
      <c r="F29" s="30"/>
      <c r="G29" s="30">
        <v>1600000</v>
      </c>
      <c r="H29" s="30"/>
      <c r="I29" s="30">
        <f>269129+1054028</f>
        <v>1323157</v>
      </c>
      <c r="J29" s="30"/>
      <c r="K29" s="30">
        <v>119166</v>
      </c>
      <c r="L29" s="30"/>
      <c r="M29" s="30">
        <v>1293187</v>
      </c>
      <c r="N29" s="30"/>
      <c r="O29" s="30">
        <v>0</v>
      </c>
      <c r="P29" s="30"/>
      <c r="Q29" s="30">
        <f aca="true" t="shared" si="1" ref="Q29:Q93">SUM(C29:O29)</f>
        <v>7625510</v>
      </c>
      <c r="R29" s="37"/>
      <c r="S29" s="30">
        <v>2168804</v>
      </c>
      <c r="U29" s="96">
        <f>+Q29-'St of Net Assets - GA'!M29-'LT _Lia - GA'!S29</f>
        <v>0</v>
      </c>
    </row>
    <row r="30" spans="1:21" ht="12.75">
      <c r="A30" s="32" t="s">
        <v>28</v>
      </c>
      <c r="B30" s="32"/>
      <c r="C30" s="30">
        <v>40724096</v>
      </c>
      <c r="D30" s="30"/>
      <c r="E30" s="30">
        <v>5654503</v>
      </c>
      <c r="F30" s="30"/>
      <c r="G30" s="30">
        <v>0</v>
      </c>
      <c r="H30" s="30"/>
      <c r="I30" s="30">
        <v>0</v>
      </c>
      <c r="J30" s="30"/>
      <c r="K30" s="30">
        <v>0</v>
      </c>
      <c r="L30" s="30"/>
      <c r="M30" s="30">
        <v>3134121</v>
      </c>
      <c r="N30" s="30"/>
      <c r="O30" s="30">
        <v>0</v>
      </c>
      <c r="P30" s="30"/>
      <c r="Q30" s="30">
        <f t="shared" si="1"/>
        <v>49512720</v>
      </c>
      <c r="R30" s="37"/>
      <c r="S30" s="30">
        <v>4198250</v>
      </c>
      <c r="U30" s="96">
        <f>+Q30-'St of Net Assets - GA'!M30-'LT _Lia - GA'!S30</f>
        <v>0</v>
      </c>
    </row>
    <row r="31" spans="1:21" ht="12.75">
      <c r="A31" s="32" t="s">
        <v>29</v>
      </c>
      <c r="B31" s="32"/>
      <c r="C31" s="30">
        <v>19554295</v>
      </c>
      <c r="D31" s="30"/>
      <c r="E31" s="30">
        <v>827451</v>
      </c>
      <c r="F31" s="30"/>
      <c r="G31" s="30">
        <v>0</v>
      </c>
      <c r="H31" s="30"/>
      <c r="I31" s="30">
        <v>0</v>
      </c>
      <c r="J31" s="30"/>
      <c r="K31" s="30">
        <v>347685</v>
      </c>
      <c r="L31" s="30"/>
      <c r="M31" s="30">
        <v>2800733</v>
      </c>
      <c r="N31" s="30"/>
      <c r="O31" s="30">
        <v>0</v>
      </c>
      <c r="P31" s="30"/>
      <c r="Q31" s="30">
        <f t="shared" si="1"/>
        <v>23530164</v>
      </c>
      <c r="R31" s="37"/>
      <c r="S31" s="30">
        <v>2216645</v>
      </c>
      <c r="U31" s="96">
        <f>+Q31-'St of Net Assets - GA'!M31-'LT _Lia - GA'!S31</f>
        <v>0</v>
      </c>
    </row>
    <row r="32" spans="1:21" ht="12.75">
      <c r="A32" s="32" t="s">
        <v>30</v>
      </c>
      <c r="B32" s="32"/>
      <c r="C32" s="30">
        <v>18711171</v>
      </c>
      <c r="D32" s="30"/>
      <c r="E32" s="30">
        <v>2355110</v>
      </c>
      <c r="F32" s="30"/>
      <c r="G32" s="30">
        <v>1000000</v>
      </c>
      <c r="H32" s="30"/>
      <c r="I32" s="30">
        <v>52220</v>
      </c>
      <c r="J32" s="30"/>
      <c r="K32" s="30">
        <v>693950</v>
      </c>
      <c r="L32" s="30"/>
      <c r="M32" s="30">
        <v>3941134</v>
      </c>
      <c r="N32" s="30"/>
      <c r="O32" s="30">
        <v>11915</v>
      </c>
      <c r="P32" s="30"/>
      <c r="Q32" s="30">
        <f t="shared" si="1"/>
        <v>26765500</v>
      </c>
      <c r="R32" s="37"/>
      <c r="S32" s="30">
        <v>3058807</v>
      </c>
      <c r="U32" s="96">
        <f>+Q32-'St of Net Assets - GA'!M32-'LT _Lia - GA'!S32</f>
        <v>0</v>
      </c>
    </row>
    <row r="33" spans="1:21" ht="12.75" hidden="1">
      <c r="A33" s="32" t="s">
        <v>239</v>
      </c>
      <c r="B33" s="32"/>
      <c r="C33" s="30">
        <v>0</v>
      </c>
      <c r="D33" s="30"/>
      <c r="E33" s="30">
        <v>0</v>
      </c>
      <c r="F33" s="30"/>
      <c r="G33" s="30">
        <v>0</v>
      </c>
      <c r="H33" s="30"/>
      <c r="I33" s="30">
        <v>0</v>
      </c>
      <c r="J33" s="30"/>
      <c r="K33" s="30">
        <v>0</v>
      </c>
      <c r="L33" s="30"/>
      <c r="M33" s="30">
        <v>0</v>
      </c>
      <c r="N33" s="30"/>
      <c r="O33" s="30">
        <v>0</v>
      </c>
      <c r="P33" s="30"/>
      <c r="Q33" s="30">
        <f t="shared" si="1"/>
        <v>0</v>
      </c>
      <c r="R33" s="37"/>
      <c r="S33" s="30">
        <v>0</v>
      </c>
      <c r="U33" s="96">
        <f>+Q33-'St of Net Assets - GA'!M33-'LT _Lia - GA'!S33</f>
        <v>0</v>
      </c>
    </row>
    <row r="34" spans="1:21" ht="12.75">
      <c r="A34" s="32" t="s">
        <v>32</v>
      </c>
      <c r="B34" s="32"/>
      <c r="C34" s="30">
        <f>(239925+42500+8012)*1000</f>
        <v>290437000</v>
      </c>
      <c r="D34" s="30"/>
      <c r="E34" s="30">
        <v>0</v>
      </c>
      <c r="F34" s="30"/>
      <c r="G34" s="30">
        <v>0</v>
      </c>
      <c r="H34" s="30"/>
      <c r="I34" s="30">
        <f>2468*1000</f>
        <v>2468000</v>
      </c>
      <c r="J34" s="30"/>
      <c r="K34" s="30">
        <f>1669*1000</f>
        <v>1669000</v>
      </c>
      <c r="L34" s="30"/>
      <c r="M34" s="30">
        <f>36069*1000</f>
        <v>36069000</v>
      </c>
      <c r="N34" s="30"/>
      <c r="O34" s="30">
        <f>8254*1000</f>
        <v>8254000</v>
      </c>
      <c r="P34" s="30"/>
      <c r="Q34" s="30">
        <f t="shared" si="1"/>
        <v>338897000</v>
      </c>
      <c r="R34" s="37"/>
      <c r="S34" s="30">
        <f>15758*1000</f>
        <v>15758000</v>
      </c>
      <c r="U34" s="96">
        <f>+Q34-'St of Net Assets - GA'!M34-'LT _Lia - GA'!S34</f>
        <v>0</v>
      </c>
    </row>
    <row r="35" spans="1:21" ht="12.75">
      <c r="A35" s="32" t="s">
        <v>33</v>
      </c>
      <c r="B35" s="32"/>
      <c r="C35" s="30">
        <v>1057028</v>
      </c>
      <c r="D35" s="30"/>
      <c r="E35" s="30">
        <v>225728</v>
      </c>
      <c r="F35" s="30"/>
      <c r="G35" s="30">
        <v>259000</v>
      </c>
      <c r="H35" s="30"/>
      <c r="I35" s="30">
        <f>682888+489103</f>
        <v>1171991</v>
      </c>
      <c r="J35" s="30"/>
      <c r="K35" s="30">
        <v>11463</v>
      </c>
      <c r="L35" s="30"/>
      <c r="M35" s="30">
        <v>850716</v>
      </c>
      <c r="N35" s="30"/>
      <c r="O35" s="30">
        <v>433605</v>
      </c>
      <c r="P35" s="30"/>
      <c r="Q35" s="30">
        <f t="shared" si="1"/>
        <v>4009531</v>
      </c>
      <c r="R35" s="37"/>
      <c r="S35" s="30">
        <v>981495</v>
      </c>
      <c r="U35" s="96">
        <f>+Q35-'St of Net Assets - GA'!M35-'LT _Lia - GA'!S35</f>
        <v>0</v>
      </c>
    </row>
    <row r="36" spans="1:21" ht="12.75">
      <c r="A36" s="32" t="s">
        <v>34</v>
      </c>
      <c r="B36" s="32"/>
      <c r="C36" s="30">
        <v>2223054</v>
      </c>
      <c r="D36" s="30"/>
      <c r="E36" s="30">
        <v>0</v>
      </c>
      <c r="F36" s="30"/>
      <c r="G36" s="30">
        <v>0</v>
      </c>
      <c r="H36" s="30"/>
      <c r="I36" s="30">
        <v>0</v>
      </c>
      <c r="J36" s="30"/>
      <c r="K36" s="30">
        <v>7494</v>
      </c>
      <c r="L36" s="30"/>
      <c r="M36" s="30">
        <v>1570704</v>
      </c>
      <c r="N36" s="30"/>
      <c r="O36" s="30">
        <v>0</v>
      </c>
      <c r="P36" s="30"/>
      <c r="Q36" s="30">
        <f t="shared" si="1"/>
        <v>3801252</v>
      </c>
      <c r="R36" s="37"/>
      <c r="S36" s="30">
        <v>1287219</v>
      </c>
      <c r="U36" s="96">
        <f>+Q36-'St of Net Assets - GA'!M36-'LT _Lia - GA'!S36</f>
        <v>0</v>
      </c>
    </row>
    <row r="37" spans="1:21" ht="12.75">
      <c r="A37" s="32" t="s">
        <v>35</v>
      </c>
      <c r="B37" s="32"/>
      <c r="C37" s="30">
        <v>0</v>
      </c>
      <c r="D37" s="30"/>
      <c r="E37" s="30">
        <v>2873478</v>
      </c>
      <c r="F37" s="30"/>
      <c r="G37" s="30">
        <v>200000</v>
      </c>
      <c r="H37" s="30"/>
      <c r="I37" s="30">
        <v>0</v>
      </c>
      <c r="J37" s="30"/>
      <c r="K37" s="30">
        <v>16172</v>
      </c>
      <c r="L37" s="30"/>
      <c r="M37" s="30">
        <v>1888868</v>
      </c>
      <c r="N37" s="30"/>
      <c r="O37" s="30">
        <v>0</v>
      </c>
      <c r="P37" s="30"/>
      <c r="Q37" s="30">
        <f t="shared" si="1"/>
        <v>4978518</v>
      </c>
      <c r="R37" s="37"/>
      <c r="S37" s="30">
        <v>386781</v>
      </c>
      <c r="U37" s="96">
        <f>+Q37-'St of Net Assets - GA'!M37-'LT _Lia - GA'!S37</f>
        <v>0</v>
      </c>
    </row>
    <row r="38" spans="1:21" ht="12.75">
      <c r="A38" s="32" t="s">
        <v>182</v>
      </c>
      <c r="B38" s="32"/>
      <c r="C38" s="30">
        <f>10720000+10906323</f>
        <v>21626323</v>
      </c>
      <c r="D38" s="30"/>
      <c r="E38" s="30">
        <v>210000</v>
      </c>
      <c r="F38" s="30"/>
      <c r="G38" s="30">
        <v>2015000</v>
      </c>
      <c r="H38" s="30"/>
      <c r="I38" s="30">
        <v>0</v>
      </c>
      <c r="J38" s="30"/>
      <c r="K38" s="30">
        <v>0</v>
      </c>
      <c r="L38" s="30"/>
      <c r="M38" s="30">
        <v>5193127</v>
      </c>
      <c r="N38" s="30"/>
      <c r="O38" s="30">
        <v>0</v>
      </c>
      <c r="P38" s="30"/>
      <c r="Q38" s="30">
        <f t="shared" si="1"/>
        <v>29044450</v>
      </c>
      <c r="R38" s="37"/>
      <c r="S38" s="30">
        <v>3528944</v>
      </c>
      <c r="U38" s="96">
        <f>+Q38-'St of Net Assets - GA'!M38-'LT _Lia - GA'!S38</f>
        <v>0</v>
      </c>
    </row>
    <row r="39" spans="1:21" ht="12.75" hidden="1">
      <c r="A39" s="32" t="s">
        <v>244</v>
      </c>
      <c r="B39" s="3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f t="shared" si="1"/>
        <v>0</v>
      </c>
      <c r="R39" s="37"/>
      <c r="S39" s="30"/>
      <c r="U39" s="96">
        <f>+Q39-'St of Net Assets - GA'!M39-'LT _Lia - GA'!S39</f>
        <v>0</v>
      </c>
    </row>
    <row r="40" spans="1:21" ht="12.75">
      <c r="A40" s="32" t="s">
        <v>37</v>
      </c>
      <c r="B40" s="32"/>
      <c r="C40" s="30">
        <f>5380000+97419000</f>
        <v>102799000</v>
      </c>
      <c r="D40" s="30"/>
      <c r="E40" s="30">
        <v>4252000</v>
      </c>
      <c r="F40" s="30"/>
      <c r="G40" s="30">
        <v>0</v>
      </c>
      <c r="H40" s="30"/>
      <c r="I40" s="30">
        <f>3225000+6465000</f>
        <v>9690000</v>
      </c>
      <c r="J40" s="30"/>
      <c r="K40" s="30">
        <v>0</v>
      </c>
      <c r="L40" s="30"/>
      <c r="M40" s="30">
        <v>41951000</v>
      </c>
      <c r="N40" s="30"/>
      <c r="O40" s="30">
        <v>0</v>
      </c>
      <c r="P40" s="30"/>
      <c r="Q40" s="30">
        <f t="shared" si="1"/>
        <v>158692000</v>
      </c>
      <c r="R40" s="37"/>
      <c r="S40" s="30">
        <v>16090000</v>
      </c>
      <c r="U40" s="96">
        <f>+Q40-'St of Net Assets - GA'!M40-'LT _Lia - GA'!S40</f>
        <v>0</v>
      </c>
    </row>
    <row r="41" spans="1:21" ht="12.75">
      <c r="A41" s="32" t="s">
        <v>38</v>
      </c>
      <c r="B41" s="32"/>
      <c r="C41" s="30">
        <v>10302166</v>
      </c>
      <c r="D41" s="30"/>
      <c r="E41" s="30">
        <v>2601622</v>
      </c>
      <c r="F41" s="30"/>
      <c r="G41" s="30">
        <v>0</v>
      </c>
      <c r="H41" s="30"/>
      <c r="I41" s="30">
        <f>379789+31134</f>
        <v>410923</v>
      </c>
      <c r="J41" s="30"/>
      <c r="K41" s="30">
        <v>0</v>
      </c>
      <c r="L41" s="30"/>
      <c r="M41" s="30">
        <v>3244367</v>
      </c>
      <c r="N41" s="30"/>
      <c r="O41" s="30">
        <v>0</v>
      </c>
      <c r="P41" s="30"/>
      <c r="Q41" s="30">
        <f t="shared" si="1"/>
        <v>16559078</v>
      </c>
      <c r="R41" s="37"/>
      <c r="S41" s="30">
        <v>1491381</v>
      </c>
      <c r="U41" s="96">
        <f>+Q41-'St of Net Assets - GA'!M41-'LT _Lia - GA'!S41</f>
        <v>0</v>
      </c>
    </row>
    <row r="42" spans="1:21" ht="12.75" hidden="1">
      <c r="A42" s="32" t="s">
        <v>168</v>
      </c>
      <c r="B42" s="32"/>
      <c r="C42" s="30">
        <v>0</v>
      </c>
      <c r="D42" s="30"/>
      <c r="E42" s="30">
        <v>0</v>
      </c>
      <c r="F42" s="30"/>
      <c r="G42" s="30">
        <v>0</v>
      </c>
      <c r="H42" s="30"/>
      <c r="I42" s="30">
        <v>0</v>
      </c>
      <c r="J42" s="30"/>
      <c r="K42" s="30">
        <v>0</v>
      </c>
      <c r="L42" s="30"/>
      <c r="M42" s="30">
        <v>0</v>
      </c>
      <c r="N42" s="30"/>
      <c r="O42" s="30">
        <v>0</v>
      </c>
      <c r="P42" s="30"/>
      <c r="Q42" s="30">
        <f t="shared" si="1"/>
        <v>0</v>
      </c>
      <c r="R42" s="37"/>
      <c r="S42" s="30">
        <v>0</v>
      </c>
      <c r="U42" s="96">
        <f>+Q42-'St of Net Assets - GA'!M42-'LT _Lia - GA'!S42</f>
        <v>0</v>
      </c>
    </row>
    <row r="43" spans="1:21" ht="12.75" hidden="1">
      <c r="A43" s="32" t="s">
        <v>39</v>
      </c>
      <c r="B43" s="32"/>
      <c r="C43" s="30">
        <v>0</v>
      </c>
      <c r="D43" s="30"/>
      <c r="E43" s="30">
        <v>0</v>
      </c>
      <c r="F43" s="30"/>
      <c r="G43" s="30">
        <v>0</v>
      </c>
      <c r="H43" s="30"/>
      <c r="I43" s="30">
        <v>0</v>
      </c>
      <c r="J43" s="30"/>
      <c r="K43" s="30">
        <v>0</v>
      </c>
      <c r="L43" s="30"/>
      <c r="M43" s="30">
        <v>0</v>
      </c>
      <c r="N43" s="30"/>
      <c r="O43" s="30">
        <v>0</v>
      </c>
      <c r="P43" s="30"/>
      <c r="Q43" s="30">
        <f t="shared" si="1"/>
        <v>0</v>
      </c>
      <c r="R43" s="37"/>
      <c r="S43" s="30">
        <v>0</v>
      </c>
      <c r="U43" s="96">
        <f>+Q43-'St of Net Assets - GA'!M43-'LT _Lia - GA'!S43</f>
        <v>0</v>
      </c>
    </row>
    <row r="44" spans="1:21" ht="12.75">
      <c r="A44" s="32" t="s">
        <v>40</v>
      </c>
      <c r="B44" s="32"/>
      <c r="C44" s="30">
        <v>23000</v>
      </c>
      <c r="D44" s="30"/>
      <c r="E44" s="30">
        <v>178701</v>
      </c>
      <c r="F44" s="30"/>
      <c r="G44" s="30">
        <v>2560000</v>
      </c>
      <c r="H44" s="30"/>
      <c r="I44" s="30">
        <v>560944</v>
      </c>
      <c r="J44" s="30"/>
      <c r="K44" s="30">
        <v>5124</v>
      </c>
      <c r="L44" s="30"/>
      <c r="M44" s="30">
        <v>1535987</v>
      </c>
      <c r="N44" s="30"/>
      <c r="O44" s="30">
        <v>70988</v>
      </c>
      <c r="P44" s="30"/>
      <c r="Q44" s="30">
        <f t="shared" si="1"/>
        <v>4934744</v>
      </c>
      <c r="R44" s="37"/>
      <c r="S44" s="30">
        <v>3407577</v>
      </c>
      <c r="U44" s="96">
        <f>+Q44-'St of Net Assets - GA'!M44-'LT _Lia - GA'!S44</f>
        <v>0</v>
      </c>
    </row>
    <row r="45" spans="1:21" ht="12.75" hidden="1">
      <c r="A45" s="32" t="s">
        <v>41</v>
      </c>
      <c r="B45" s="32"/>
      <c r="C45" s="30">
        <v>0</v>
      </c>
      <c r="D45" s="30"/>
      <c r="E45" s="30">
        <v>0</v>
      </c>
      <c r="F45" s="30"/>
      <c r="G45" s="30">
        <v>0</v>
      </c>
      <c r="H45" s="30"/>
      <c r="I45" s="30">
        <v>0</v>
      </c>
      <c r="J45" s="30"/>
      <c r="K45" s="30">
        <v>0</v>
      </c>
      <c r="L45" s="30"/>
      <c r="M45" s="30">
        <v>0</v>
      </c>
      <c r="N45" s="30"/>
      <c r="O45" s="30">
        <v>0</v>
      </c>
      <c r="P45" s="30"/>
      <c r="Q45" s="30">
        <f t="shared" si="1"/>
        <v>0</v>
      </c>
      <c r="R45" s="37"/>
      <c r="S45" s="30">
        <v>0</v>
      </c>
      <c r="U45" s="96">
        <f>+Q45-'St of Net Assets - GA'!M45-'LT _Lia - GA'!S45</f>
        <v>0</v>
      </c>
    </row>
    <row r="46" spans="1:21" ht="12.75">
      <c r="A46" s="32" t="s">
        <v>42</v>
      </c>
      <c r="B46" s="32"/>
      <c r="C46" s="30">
        <v>345000</v>
      </c>
      <c r="D46" s="30"/>
      <c r="E46" s="30">
        <v>48100</v>
      </c>
      <c r="F46" s="30"/>
      <c r="G46" s="30">
        <v>581135</v>
      </c>
      <c r="H46" s="30"/>
      <c r="I46" s="30">
        <v>0</v>
      </c>
      <c r="J46" s="30"/>
      <c r="K46" s="30">
        <v>62798</v>
      </c>
      <c r="L46" s="30"/>
      <c r="M46" s="30">
        <v>765302</v>
      </c>
      <c r="N46" s="30"/>
      <c r="O46" s="30">
        <v>0</v>
      </c>
      <c r="P46" s="30"/>
      <c r="Q46" s="30">
        <f t="shared" si="1"/>
        <v>1802335</v>
      </c>
      <c r="R46" s="37"/>
      <c r="S46" s="30">
        <v>294771</v>
      </c>
      <c r="U46" s="96">
        <f>+Q46-'St of Net Assets - GA'!M46-'LT _Lia - GA'!S46</f>
        <v>8015</v>
      </c>
    </row>
    <row r="47" spans="1:21" ht="12.75">
      <c r="A47" s="32" t="s">
        <v>43</v>
      </c>
      <c r="B47" s="32"/>
      <c r="C47" s="30">
        <v>4115000</v>
      </c>
      <c r="D47" s="30"/>
      <c r="E47" s="30">
        <v>0</v>
      </c>
      <c r="F47" s="30"/>
      <c r="G47" s="30">
        <v>0</v>
      </c>
      <c r="H47" s="30"/>
      <c r="I47" s="30">
        <v>0</v>
      </c>
      <c r="J47" s="30"/>
      <c r="K47" s="30">
        <v>0</v>
      </c>
      <c r="L47" s="30"/>
      <c r="M47" s="30">
        <v>1274095</v>
      </c>
      <c r="N47" s="30"/>
      <c r="O47" s="30">
        <v>0</v>
      </c>
      <c r="P47" s="30"/>
      <c r="Q47" s="30">
        <f t="shared" si="1"/>
        <v>5389095</v>
      </c>
      <c r="R47" s="37"/>
      <c r="S47" s="30">
        <v>1231394</v>
      </c>
      <c r="U47" s="96">
        <f>+Q47-'St of Net Assets - GA'!M47-'LT _Lia - GA'!S47</f>
        <v>0</v>
      </c>
    </row>
    <row r="48" spans="1:21" ht="12.75">
      <c r="A48" s="32" t="s">
        <v>44</v>
      </c>
      <c r="B48" s="32"/>
      <c r="C48" s="30">
        <v>9173000</v>
      </c>
      <c r="D48" s="30"/>
      <c r="E48" s="30">
        <v>0</v>
      </c>
      <c r="F48" s="30"/>
      <c r="G48" s="30">
        <v>0</v>
      </c>
      <c r="H48" s="30"/>
      <c r="I48" s="30">
        <v>0</v>
      </c>
      <c r="J48" s="30"/>
      <c r="K48" s="30">
        <v>0</v>
      </c>
      <c r="L48" s="30"/>
      <c r="M48" s="30">
        <v>1649390</v>
      </c>
      <c r="N48" s="30"/>
      <c r="O48" s="30">
        <v>0</v>
      </c>
      <c r="P48" s="30"/>
      <c r="Q48" s="30">
        <f t="shared" si="1"/>
        <v>10822390</v>
      </c>
      <c r="R48" s="37"/>
      <c r="S48" s="30">
        <v>596350</v>
      </c>
      <c r="U48" s="96">
        <f>+Q48-'St of Net Assets - GA'!M48-'LT _Lia - GA'!S48</f>
        <v>18267</v>
      </c>
    </row>
    <row r="49" spans="1:21" ht="12.75" hidden="1">
      <c r="A49" s="32" t="s">
        <v>241</v>
      </c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f t="shared" si="1"/>
        <v>0</v>
      </c>
      <c r="R49" s="37"/>
      <c r="S49" s="30"/>
      <c r="U49" s="96">
        <f>+Q49-'St of Net Assets - GA'!M49-'LT _Lia - GA'!S49</f>
        <v>0</v>
      </c>
    </row>
    <row r="50" spans="1:21" ht="12.75">
      <c r="A50" s="32" t="s">
        <v>46</v>
      </c>
      <c r="B50" s="32"/>
      <c r="C50" s="30">
        <v>23631414</v>
      </c>
      <c r="D50" s="30"/>
      <c r="E50" s="30">
        <v>0</v>
      </c>
      <c r="F50" s="30"/>
      <c r="G50" s="30">
        <v>2603775</v>
      </c>
      <c r="H50" s="30"/>
      <c r="I50" s="30">
        <f>55603+354548+48881</f>
        <v>459032</v>
      </c>
      <c r="J50" s="30"/>
      <c r="K50" s="30">
        <v>375371</v>
      </c>
      <c r="L50" s="30"/>
      <c r="M50" s="30">
        <v>2356481</v>
      </c>
      <c r="N50" s="30"/>
      <c r="O50" s="30">
        <f>1305871+16829</f>
        <v>1322700</v>
      </c>
      <c r="P50" s="30"/>
      <c r="Q50" s="30">
        <f t="shared" si="1"/>
        <v>30748773</v>
      </c>
      <c r="R50" s="37"/>
      <c r="S50" s="30">
        <v>2725446</v>
      </c>
      <c r="U50" s="96">
        <f>+Q50-'St of Net Assets - GA'!M50-'LT _Lia - GA'!S50</f>
        <v>0</v>
      </c>
    </row>
    <row r="51" spans="1:21" ht="12.75">
      <c r="A51" s="32" t="s">
        <v>47</v>
      </c>
      <c r="B51" s="32"/>
      <c r="C51" s="30">
        <v>9830000</v>
      </c>
      <c r="D51" s="30"/>
      <c r="E51" s="30">
        <v>0</v>
      </c>
      <c r="F51" s="30"/>
      <c r="G51" s="30">
        <v>343883</v>
      </c>
      <c r="H51" s="30"/>
      <c r="I51" s="30">
        <v>0</v>
      </c>
      <c r="J51" s="30"/>
      <c r="K51" s="30">
        <v>188337</v>
      </c>
      <c r="L51" s="30"/>
      <c r="M51" s="30">
        <v>955129</v>
      </c>
      <c r="N51" s="30"/>
      <c r="O51" s="30">
        <v>0</v>
      </c>
      <c r="P51" s="30"/>
      <c r="Q51" s="30">
        <f t="shared" si="1"/>
        <v>11317349</v>
      </c>
      <c r="R51" s="37"/>
      <c r="S51" s="30">
        <v>1387899</v>
      </c>
      <c r="U51" s="96">
        <f>+Q51-'St of Net Assets - GA'!M51-'LT _Lia - GA'!S51</f>
        <v>0</v>
      </c>
    </row>
    <row r="52" spans="1:21" ht="12.75">
      <c r="A52" s="32" t="s">
        <v>48</v>
      </c>
      <c r="B52" s="32"/>
      <c r="C52" s="30">
        <v>23999000</v>
      </c>
      <c r="D52" s="30"/>
      <c r="E52" s="30">
        <v>7553300</v>
      </c>
      <c r="F52" s="30"/>
      <c r="G52" s="30">
        <v>0</v>
      </c>
      <c r="H52" s="30"/>
      <c r="I52" s="30">
        <v>0</v>
      </c>
      <c r="J52" s="30"/>
      <c r="K52" s="30">
        <v>38897</v>
      </c>
      <c r="L52" s="30"/>
      <c r="M52" s="30">
        <v>11174428</v>
      </c>
      <c r="N52" s="30"/>
      <c r="O52" s="30">
        <v>0</v>
      </c>
      <c r="P52" s="30"/>
      <c r="Q52" s="30">
        <f t="shared" si="1"/>
        <v>42765625</v>
      </c>
      <c r="R52" s="37"/>
      <c r="S52" s="30">
        <v>3639830</v>
      </c>
      <c r="U52" s="96">
        <f>+Q52-'[1]St of Net Assets - GA'!M52-'[1]LT _Lia - GA'!S52</f>
        <v>0</v>
      </c>
    </row>
    <row r="53" spans="1:21" ht="12.75" hidden="1">
      <c r="A53" s="32" t="s">
        <v>170</v>
      </c>
      <c r="B53" s="32"/>
      <c r="C53" s="30">
        <v>0</v>
      </c>
      <c r="D53" s="30"/>
      <c r="E53" s="30">
        <v>0</v>
      </c>
      <c r="F53" s="30"/>
      <c r="G53" s="30">
        <v>0</v>
      </c>
      <c r="H53" s="30"/>
      <c r="I53" s="30">
        <v>0</v>
      </c>
      <c r="J53" s="30"/>
      <c r="K53" s="30">
        <v>0</v>
      </c>
      <c r="L53" s="30"/>
      <c r="M53" s="30">
        <v>0</v>
      </c>
      <c r="N53" s="30"/>
      <c r="O53" s="30">
        <v>0</v>
      </c>
      <c r="P53" s="30"/>
      <c r="Q53" s="30">
        <f t="shared" si="1"/>
        <v>0</v>
      </c>
      <c r="R53" s="37"/>
      <c r="S53" s="30">
        <v>0</v>
      </c>
      <c r="U53" s="96">
        <f>+Q53-'[1]St of Net Assets - GA'!M53-'[1]LT _Lia - GA'!S53</f>
        <v>0</v>
      </c>
    </row>
    <row r="54" spans="1:21" ht="12.75">
      <c r="A54" s="32" t="s">
        <v>49</v>
      </c>
      <c r="B54" s="32"/>
      <c r="C54" s="30">
        <v>10096383</v>
      </c>
      <c r="D54" s="30"/>
      <c r="E54" s="30">
        <v>464859</v>
      </c>
      <c r="F54" s="30"/>
      <c r="G54" s="30">
        <v>0</v>
      </c>
      <c r="H54" s="30"/>
      <c r="I54" s="30">
        <v>0</v>
      </c>
      <c r="J54" s="30"/>
      <c r="K54" s="30">
        <v>111401</v>
      </c>
      <c r="L54" s="30"/>
      <c r="M54" s="30">
        <v>3598170</v>
      </c>
      <c r="N54" s="30"/>
      <c r="O54" s="30">
        <v>0</v>
      </c>
      <c r="P54" s="30"/>
      <c r="Q54" s="30">
        <f t="shared" si="1"/>
        <v>14270813</v>
      </c>
      <c r="R54" s="37"/>
      <c r="S54" s="30">
        <v>2973159</v>
      </c>
      <c r="U54" s="96">
        <f>+Q54-'[1]St of Net Assets - GA'!M54-'[1]LT _Lia - GA'!S54</f>
        <v>0</v>
      </c>
    </row>
    <row r="55" spans="1:21" ht="12.75">
      <c r="A55" s="32" t="s">
        <v>50</v>
      </c>
      <c r="B55" s="32"/>
      <c r="C55" s="30">
        <f>6423375+6396000</f>
        <v>12819375</v>
      </c>
      <c r="D55" s="30"/>
      <c r="E55" s="30">
        <v>0</v>
      </c>
      <c r="F55" s="30"/>
      <c r="G55" s="30">
        <v>0</v>
      </c>
      <c r="H55" s="30"/>
      <c r="I55" s="30">
        <v>0</v>
      </c>
      <c r="J55" s="30"/>
      <c r="K55" s="30">
        <v>0</v>
      </c>
      <c r="L55" s="30"/>
      <c r="M55" s="30">
        <v>1392494</v>
      </c>
      <c r="N55" s="30"/>
      <c r="O55" s="30">
        <v>0</v>
      </c>
      <c r="P55" s="30"/>
      <c r="Q55" s="30">
        <f t="shared" si="1"/>
        <v>14211869</v>
      </c>
      <c r="R55" s="37"/>
      <c r="S55" s="30">
        <v>1460963</v>
      </c>
      <c r="U55" s="96">
        <f>+Q55-'[1]St of Net Assets - GA'!M55-'[1]LT _Lia - GA'!S55</f>
        <v>0</v>
      </c>
    </row>
    <row r="56" spans="1:21" ht="12.75">
      <c r="A56" s="32" t="s">
        <v>246</v>
      </c>
      <c r="B56" s="32"/>
      <c r="C56" s="30">
        <v>28220000</v>
      </c>
      <c r="D56" s="30"/>
      <c r="E56" s="30">
        <v>3997459</v>
      </c>
      <c r="F56" s="30"/>
      <c r="G56" s="30">
        <v>0</v>
      </c>
      <c r="H56" s="30"/>
      <c r="I56" s="30">
        <v>0</v>
      </c>
      <c r="J56" s="30"/>
      <c r="K56" s="30">
        <v>0</v>
      </c>
      <c r="L56" s="30"/>
      <c r="M56" s="30">
        <v>14676869</v>
      </c>
      <c r="N56" s="30"/>
      <c r="O56" s="30">
        <v>0</v>
      </c>
      <c r="P56" s="30"/>
      <c r="Q56" s="30">
        <f t="shared" si="1"/>
        <v>46894328</v>
      </c>
      <c r="R56" s="37"/>
      <c r="S56" s="30">
        <v>6629055</v>
      </c>
      <c r="U56" s="96">
        <f>+Q56-'[1]St of Net Assets - GA'!M56-'[1]LT _Lia - GA'!S56</f>
        <v>0</v>
      </c>
    </row>
    <row r="57" spans="1:21" ht="12.75">
      <c r="A57" s="32" t="s">
        <v>183</v>
      </c>
      <c r="B57" s="32"/>
      <c r="C57" s="30">
        <v>27925000</v>
      </c>
      <c r="D57" s="30"/>
      <c r="E57" s="30">
        <v>17254000</v>
      </c>
      <c r="F57" s="30"/>
      <c r="G57" s="30">
        <v>0</v>
      </c>
      <c r="H57" s="30"/>
      <c r="I57" s="30">
        <f>775554+1725424</f>
        <v>2500978</v>
      </c>
      <c r="J57" s="30"/>
      <c r="K57" s="30">
        <v>92718</v>
      </c>
      <c r="L57" s="30"/>
      <c r="M57" s="30">
        <v>20906821</v>
      </c>
      <c r="N57" s="30"/>
      <c r="O57" s="30">
        <f>16550000+725700+12428650+12502172-485392</f>
        <v>41721130</v>
      </c>
      <c r="P57" s="30"/>
      <c r="Q57" s="30">
        <f t="shared" si="1"/>
        <v>110400647</v>
      </c>
      <c r="R57" s="37"/>
      <c r="S57" s="30">
        <v>23283846</v>
      </c>
      <c r="U57" s="96">
        <f>+Q57-'[1]St of Net Assets - GA'!M57-'[1]LT _Lia - GA'!S57</f>
        <v>0</v>
      </c>
    </row>
    <row r="58" spans="1:21" ht="12.75" hidden="1">
      <c r="A58" s="32" t="s">
        <v>52</v>
      </c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f t="shared" si="1"/>
        <v>0</v>
      </c>
      <c r="R58" s="37"/>
      <c r="S58" s="30"/>
      <c r="U58" s="96" t="e">
        <f>+Q58-'[1]St of Net Assets - GA'!M58-'[1]LT _Lia - GA'!S58</f>
        <v>#REF!</v>
      </c>
    </row>
    <row r="59" spans="1:21" ht="12.75">
      <c r="A59" s="32" t="s">
        <v>53</v>
      </c>
      <c r="B59" s="32"/>
      <c r="C59" s="30">
        <v>34884179</v>
      </c>
      <c r="D59" s="30"/>
      <c r="E59" s="30">
        <v>0</v>
      </c>
      <c r="F59" s="30"/>
      <c r="G59" s="30">
        <v>430346</v>
      </c>
      <c r="H59" s="30"/>
      <c r="I59" s="30">
        <v>0</v>
      </c>
      <c r="J59" s="30"/>
      <c r="K59" s="30">
        <v>1289086</v>
      </c>
      <c r="L59" s="30"/>
      <c r="M59" s="30">
        <v>8530239</v>
      </c>
      <c r="N59" s="30"/>
      <c r="O59" s="30">
        <f>2708204+688590</f>
        <v>3396794</v>
      </c>
      <c r="P59" s="30"/>
      <c r="Q59" s="30">
        <f t="shared" si="1"/>
        <v>48530644</v>
      </c>
      <c r="R59" s="37"/>
      <c r="S59" s="30">
        <v>9109862</v>
      </c>
      <c r="U59" s="96">
        <f>+Q59-'[1]St of Net Assets - GA'!M59-'[1]LT _Lia - GA'!S59</f>
        <v>-720936</v>
      </c>
    </row>
    <row r="60" spans="1:21" ht="12.75">
      <c r="A60" s="32" t="s">
        <v>54</v>
      </c>
      <c r="B60" s="32"/>
      <c r="C60" s="30">
        <f>9331475+47041-437241</f>
        <v>8941275</v>
      </c>
      <c r="D60" s="30"/>
      <c r="E60" s="30">
        <f>73525+775-857</f>
        <v>73443</v>
      </c>
      <c r="F60" s="30"/>
      <c r="G60" s="30">
        <v>0</v>
      </c>
      <c r="H60" s="30"/>
      <c r="I60" s="30">
        <v>49431</v>
      </c>
      <c r="J60" s="30"/>
      <c r="K60" s="30">
        <v>0</v>
      </c>
      <c r="L60" s="30"/>
      <c r="M60" s="30">
        <v>1543326</v>
      </c>
      <c r="N60" s="30"/>
      <c r="O60" s="30">
        <v>0</v>
      </c>
      <c r="P60" s="30"/>
      <c r="Q60" s="30">
        <f t="shared" si="1"/>
        <v>10607475</v>
      </c>
      <c r="R60" s="37"/>
      <c r="S60" s="30">
        <v>1136059</v>
      </c>
      <c r="U60" s="96">
        <f>+Q60-'[1]St of Net Assets - GA'!M60-'[1]LT _Lia - GA'!S60</f>
        <v>0</v>
      </c>
    </row>
    <row r="61" spans="1:21" ht="12.75">
      <c r="A61" s="32" t="s">
        <v>55</v>
      </c>
      <c r="B61" s="32"/>
      <c r="C61" s="30">
        <v>6944637</v>
      </c>
      <c r="D61" s="30"/>
      <c r="E61" s="30">
        <v>1598940</v>
      </c>
      <c r="F61" s="30"/>
      <c r="G61" s="30">
        <v>0</v>
      </c>
      <c r="H61" s="30"/>
      <c r="I61" s="30">
        <f>189446+127061+1324372</f>
        <v>1640879</v>
      </c>
      <c r="J61" s="30"/>
      <c r="K61" s="30">
        <v>0</v>
      </c>
      <c r="L61" s="30"/>
      <c r="M61" s="30">
        <v>4204796</v>
      </c>
      <c r="N61" s="30"/>
      <c r="O61" s="30">
        <v>0</v>
      </c>
      <c r="P61" s="30"/>
      <c r="Q61" s="30">
        <f t="shared" si="1"/>
        <v>14389252</v>
      </c>
      <c r="R61" s="37"/>
      <c r="S61" s="30">
        <v>2527110</v>
      </c>
      <c r="U61" s="96">
        <f>+Q61-'[1]St of Net Assets - GA'!M61-'[1]LT _Lia - GA'!S61</f>
        <v>-1082841</v>
      </c>
    </row>
    <row r="62" spans="1:21" ht="12.75" hidden="1">
      <c r="A62" s="32" t="s">
        <v>171</v>
      </c>
      <c r="B62" s="32"/>
      <c r="C62" s="30">
        <v>0</v>
      </c>
      <c r="D62" s="30"/>
      <c r="E62" s="30">
        <v>0</v>
      </c>
      <c r="F62" s="30"/>
      <c r="G62" s="30">
        <v>0</v>
      </c>
      <c r="H62" s="30"/>
      <c r="I62" s="30">
        <v>0</v>
      </c>
      <c r="J62" s="30"/>
      <c r="K62" s="30">
        <v>0</v>
      </c>
      <c r="L62" s="30"/>
      <c r="M62" s="30">
        <v>0</v>
      </c>
      <c r="N62" s="30"/>
      <c r="O62" s="30">
        <v>0</v>
      </c>
      <c r="P62" s="30"/>
      <c r="Q62" s="30">
        <f t="shared" si="1"/>
        <v>0</v>
      </c>
      <c r="R62" s="37"/>
      <c r="S62" s="30">
        <v>0</v>
      </c>
      <c r="U62" s="96">
        <f>+Q62-'[1]St of Net Assets - GA'!M62-'[1]LT _Lia - GA'!S62</f>
        <v>0</v>
      </c>
    </row>
    <row r="63" spans="1:21" ht="12.75" hidden="1">
      <c r="A63" s="32" t="s">
        <v>56</v>
      </c>
      <c r="B63" s="32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>
        <f t="shared" si="1"/>
        <v>0</v>
      </c>
      <c r="R63" s="37"/>
      <c r="S63" s="30"/>
      <c r="U63" s="96" t="e">
        <f>+Q63-'[1]St of Net Assets - GA'!M63-'[1]LT _Lia - GA'!S63</f>
        <v>#REF!</v>
      </c>
    </row>
    <row r="64" spans="1:21" ht="12.75">
      <c r="A64" s="32" t="s">
        <v>57</v>
      </c>
      <c r="B64" s="32"/>
      <c r="C64" s="30">
        <v>5445000</v>
      </c>
      <c r="D64" s="30"/>
      <c r="E64" s="30">
        <v>0</v>
      </c>
      <c r="F64" s="30"/>
      <c r="G64" s="30">
        <v>0</v>
      </c>
      <c r="H64" s="30"/>
      <c r="I64" s="30">
        <v>0</v>
      </c>
      <c r="J64" s="30"/>
      <c r="K64" s="30">
        <v>152321</v>
      </c>
      <c r="L64" s="30"/>
      <c r="M64" s="30">
        <v>2856959</v>
      </c>
      <c r="N64" s="30"/>
      <c r="O64" s="30">
        <v>1899771</v>
      </c>
      <c r="P64" s="30"/>
      <c r="Q64" s="30">
        <f t="shared" si="1"/>
        <v>10354051</v>
      </c>
      <c r="R64" s="37"/>
      <c r="S64" s="30">
        <v>2193266</v>
      </c>
      <c r="U64" s="96">
        <f>+Q64-'[1]St of Net Assets - GA'!M64-'[1]LT _Lia - GA'!S64</f>
        <v>0</v>
      </c>
    </row>
    <row r="65" spans="1:21" ht="12.75">
      <c r="A65" s="32" t="s">
        <v>58</v>
      </c>
      <c r="B65" s="32"/>
      <c r="C65" s="30">
        <v>244127</v>
      </c>
      <c r="D65" s="30"/>
      <c r="E65" s="30">
        <v>0</v>
      </c>
      <c r="F65" s="30"/>
      <c r="G65" s="30">
        <v>0</v>
      </c>
      <c r="H65" s="30"/>
      <c r="I65" s="30">
        <v>7531</v>
      </c>
      <c r="J65" s="30"/>
      <c r="K65" s="30">
        <v>0</v>
      </c>
      <c r="L65" s="30"/>
      <c r="M65" s="30">
        <v>463460</v>
      </c>
      <c r="N65" s="30"/>
      <c r="O65" s="30">
        <v>90402</v>
      </c>
      <c r="P65" s="30"/>
      <c r="Q65" s="30">
        <f t="shared" si="1"/>
        <v>805520</v>
      </c>
      <c r="R65" s="37"/>
      <c r="S65" s="30">
        <v>255132</v>
      </c>
      <c r="U65" s="96">
        <f>+Q65-'[1]St of Net Assets - GA'!M65-'[1]LT _Lia - GA'!S65</f>
        <v>0</v>
      </c>
    </row>
    <row r="66" spans="1:21" ht="12.75">
      <c r="A66" s="32" t="s">
        <v>59</v>
      </c>
      <c r="B66" s="32"/>
      <c r="C66" s="30">
        <v>44844293</v>
      </c>
      <c r="D66" s="30"/>
      <c r="E66" s="30">
        <v>2293164</v>
      </c>
      <c r="F66" s="30"/>
      <c r="G66" s="30">
        <v>0</v>
      </c>
      <c r="H66" s="30"/>
      <c r="I66" s="30">
        <v>0</v>
      </c>
      <c r="J66" s="30"/>
      <c r="K66" s="30">
        <v>694816</v>
      </c>
      <c r="L66" s="30"/>
      <c r="M66" s="30">
        <v>19448536</v>
      </c>
      <c r="N66" s="30"/>
      <c r="O66" s="30">
        <f>15818213+1099713-697041</f>
        <v>16220885</v>
      </c>
      <c r="P66" s="30"/>
      <c r="Q66" s="30">
        <f>SUM(C66:O66)</f>
        <v>83501694</v>
      </c>
      <c r="R66" s="37"/>
      <c r="S66" s="30">
        <v>15707132</v>
      </c>
      <c r="U66" s="96">
        <f>+Q66-'[1]St of Net Assets - GA'!M66-'[1]LT _Lia - GA'!S66</f>
        <v>0</v>
      </c>
    </row>
    <row r="67" spans="1:21" ht="12.75" hidden="1">
      <c r="A67" s="32" t="s">
        <v>60</v>
      </c>
      <c r="B67" s="3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>
        <f t="shared" si="1"/>
        <v>0</v>
      </c>
      <c r="R67" s="37"/>
      <c r="S67" s="30"/>
      <c r="U67" s="96" t="e">
        <f>+Q67-'[1]St of Net Assets - GA'!M67-'[1]LT _Lia - GA'!S67</f>
        <v>#REF!</v>
      </c>
    </row>
    <row r="68" spans="1:21" ht="12.75">
      <c r="A68" s="32" t="s">
        <v>97</v>
      </c>
      <c r="B68" s="32"/>
      <c r="C68" s="30">
        <v>2035000</v>
      </c>
      <c r="D68" s="30"/>
      <c r="E68" s="30">
        <v>0</v>
      </c>
      <c r="F68" s="30"/>
      <c r="G68" s="30">
        <v>3057000</v>
      </c>
      <c r="H68" s="30"/>
      <c r="I68" s="30">
        <f>247532+100107</f>
        <v>347639</v>
      </c>
      <c r="J68" s="30"/>
      <c r="K68" s="30">
        <v>266955</v>
      </c>
      <c r="L68" s="30"/>
      <c r="M68" s="30">
        <v>757318</v>
      </c>
      <c r="N68" s="30"/>
      <c r="O68" s="30">
        <v>0</v>
      </c>
      <c r="P68" s="30"/>
      <c r="Q68" s="30">
        <f t="shared" si="1"/>
        <v>6463912</v>
      </c>
      <c r="R68" s="37"/>
      <c r="S68" s="30">
        <v>3498264</v>
      </c>
      <c r="U68" s="96">
        <f>+Q68-'[1]St of Net Assets - GA'!M68-'[1]LT _Lia - GA'!S68</f>
        <v>0</v>
      </c>
    </row>
    <row r="69" spans="1:21" ht="12.75">
      <c r="A69" s="32" t="s">
        <v>61</v>
      </c>
      <c r="B69" s="32"/>
      <c r="C69" s="30">
        <v>13000855</v>
      </c>
      <c r="D69" s="30"/>
      <c r="E69" s="30">
        <v>785929</v>
      </c>
      <c r="F69" s="30"/>
      <c r="G69" s="30">
        <v>0</v>
      </c>
      <c r="H69" s="30"/>
      <c r="I69" s="30">
        <v>0</v>
      </c>
      <c r="J69" s="30"/>
      <c r="K69" s="30">
        <v>480546</v>
      </c>
      <c r="L69" s="30"/>
      <c r="M69" s="30">
        <v>3204104</v>
      </c>
      <c r="N69" s="30"/>
      <c r="O69" s="30">
        <f>11813391+901343</f>
        <v>12714734</v>
      </c>
      <c r="P69" s="30"/>
      <c r="Q69" s="30">
        <f t="shared" si="1"/>
        <v>30186168</v>
      </c>
      <c r="R69" s="37"/>
      <c r="S69" s="30">
        <v>4014185</v>
      </c>
      <c r="U69" s="96">
        <f>+Q69-'[1]St of Net Assets - GA'!M69-'[1]LT _Lia - GA'!S69</f>
        <v>0</v>
      </c>
    </row>
    <row r="70" spans="1:21" s="26" customFormat="1" ht="12.75">
      <c r="A70" s="32" t="s">
        <v>62</v>
      </c>
      <c r="B70" s="32"/>
      <c r="C70" s="30">
        <v>800000</v>
      </c>
      <c r="D70" s="30"/>
      <c r="E70" s="30">
        <v>0</v>
      </c>
      <c r="F70" s="30"/>
      <c r="G70" s="30">
        <v>2793</v>
      </c>
      <c r="H70" s="30"/>
      <c r="I70" s="30">
        <v>30627</v>
      </c>
      <c r="J70" s="30"/>
      <c r="K70" s="30">
        <v>14404</v>
      </c>
      <c r="L70" s="30"/>
      <c r="M70" s="30">
        <v>427275</v>
      </c>
      <c r="N70" s="30"/>
      <c r="O70" s="30">
        <v>0</v>
      </c>
      <c r="P70" s="30"/>
      <c r="Q70" s="30">
        <f t="shared" si="1"/>
        <v>1275099</v>
      </c>
      <c r="R70" s="37"/>
      <c r="S70" s="30">
        <v>251284</v>
      </c>
      <c r="T70" s="38"/>
      <c r="U70" s="129">
        <f>+Q70-'[1]St of Net Assets - GA'!M70-'[1]LT _Lia - GA'!S70</f>
        <v>0</v>
      </c>
    </row>
    <row r="71" spans="1:21" ht="12.75">
      <c r="A71" s="32" t="s">
        <v>63</v>
      </c>
      <c r="B71" s="32"/>
      <c r="C71" s="30">
        <v>9272316</v>
      </c>
      <c r="D71" s="30"/>
      <c r="E71" s="30">
        <v>3786100</v>
      </c>
      <c r="F71" s="30"/>
      <c r="G71" s="30">
        <v>0</v>
      </c>
      <c r="H71" s="30"/>
      <c r="I71" s="30">
        <v>13725064</v>
      </c>
      <c r="J71" s="30"/>
      <c r="K71" s="30">
        <v>48095</v>
      </c>
      <c r="L71" s="30"/>
      <c r="M71" s="30">
        <v>1597280</v>
      </c>
      <c r="N71" s="30"/>
      <c r="O71" s="30">
        <v>0</v>
      </c>
      <c r="P71" s="30"/>
      <c r="Q71" s="30">
        <f t="shared" si="1"/>
        <v>28428855</v>
      </c>
      <c r="R71" s="37"/>
      <c r="S71" s="30">
        <v>3124193</v>
      </c>
      <c r="U71" s="96">
        <f>+Q71-'[1]St of Net Assets - GA'!M71-'[1]LT _Lia - GA'!S71</f>
        <v>1440243</v>
      </c>
    </row>
    <row r="72" spans="1:21" ht="12.75" hidden="1">
      <c r="A72" s="32" t="s">
        <v>132</v>
      </c>
      <c r="B72" s="3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>
        <f t="shared" si="1"/>
        <v>0</v>
      </c>
      <c r="R72" s="37"/>
      <c r="S72" s="30"/>
      <c r="U72" s="96" t="e">
        <f>+Q72-'[1]St of Net Assets - GA'!M72-'[1]LT _Lia - GA'!S72</f>
        <v>#REF!</v>
      </c>
    </row>
    <row r="73" spans="1:21" ht="12.75" hidden="1">
      <c r="A73" s="32" t="s">
        <v>64</v>
      </c>
      <c r="B73" s="3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>
        <f t="shared" si="1"/>
        <v>0</v>
      </c>
      <c r="R73" s="37"/>
      <c r="S73" s="30"/>
      <c r="U73" s="96" t="e">
        <f>+Q73-'[1]St of Net Assets - GA'!M73-'[1]LT _Lia - GA'!S73</f>
        <v>#REF!</v>
      </c>
    </row>
    <row r="74" spans="1:21" ht="12.75">
      <c r="A74" s="32"/>
      <c r="B74" s="3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7"/>
      <c r="S74" s="30"/>
      <c r="U74" s="96"/>
    </row>
    <row r="75" spans="1:21" ht="12.75">
      <c r="A75" s="32"/>
      <c r="B75" s="3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 t="s">
        <v>253</v>
      </c>
      <c r="R75" s="37"/>
      <c r="S75" s="30"/>
      <c r="U75" s="96"/>
    </row>
    <row r="76" spans="1:21" ht="12.75">
      <c r="A76" s="32" t="s">
        <v>65</v>
      </c>
      <c r="B76" s="32"/>
      <c r="C76" s="47">
        <v>0</v>
      </c>
      <c r="D76" s="47"/>
      <c r="E76" s="47">
        <f>115000+110000</f>
        <v>225000</v>
      </c>
      <c r="F76" s="47"/>
      <c r="G76" s="47">
        <f>715000+55500+56800</f>
        <v>827300</v>
      </c>
      <c r="H76" s="47"/>
      <c r="I76" s="47">
        <v>0</v>
      </c>
      <c r="J76" s="47"/>
      <c r="K76" s="47">
        <v>85905</v>
      </c>
      <c r="L76" s="47"/>
      <c r="M76" s="47">
        <v>1576879</v>
      </c>
      <c r="N76" s="47"/>
      <c r="O76" s="47">
        <v>0</v>
      </c>
      <c r="P76" s="47"/>
      <c r="Q76" s="47">
        <f t="shared" si="1"/>
        <v>2715084</v>
      </c>
      <c r="R76" s="37"/>
      <c r="S76" s="47">
        <v>1345009</v>
      </c>
      <c r="U76" s="96">
        <f>+Q76-'[1]St of Net Assets - GA'!M74-'[1]LT _Lia - GA'!S75</f>
        <v>0</v>
      </c>
    </row>
    <row r="77" spans="1:21" ht="12.75">
      <c r="A77" s="32" t="s">
        <v>66</v>
      </c>
      <c r="B77" s="32"/>
      <c r="C77" s="30">
        <v>2701330</v>
      </c>
      <c r="D77" s="30"/>
      <c r="E77" s="30">
        <v>0</v>
      </c>
      <c r="F77" s="30"/>
      <c r="G77" s="30">
        <v>0</v>
      </c>
      <c r="H77" s="30"/>
      <c r="I77" s="30">
        <f>32625+175800+1008283</f>
        <v>1216708</v>
      </c>
      <c r="J77" s="30"/>
      <c r="K77" s="30">
        <v>416634</v>
      </c>
      <c r="L77" s="30"/>
      <c r="M77" s="30">
        <v>658885</v>
      </c>
      <c r="N77" s="30"/>
      <c r="O77" s="30">
        <v>0</v>
      </c>
      <c r="P77" s="30"/>
      <c r="Q77" s="30">
        <f t="shared" si="1"/>
        <v>4993557</v>
      </c>
      <c r="R77" s="37"/>
      <c r="S77" s="30">
        <v>492590</v>
      </c>
      <c r="U77" s="96">
        <f>+Q77-'[1]St of Net Assets - GA'!M75-'[1]LT _Lia - GA'!S76</f>
        <v>4993557</v>
      </c>
    </row>
    <row r="78" spans="1:21" ht="12.75">
      <c r="A78" s="32" t="s">
        <v>67</v>
      </c>
      <c r="B78" s="32"/>
      <c r="C78" s="30">
        <v>14857624</v>
      </c>
      <c r="D78" s="30"/>
      <c r="E78" s="30">
        <v>1145130</v>
      </c>
      <c r="F78" s="30"/>
      <c r="G78" s="30">
        <v>0</v>
      </c>
      <c r="H78" s="30"/>
      <c r="I78" s="30">
        <v>546092</v>
      </c>
      <c r="J78" s="30"/>
      <c r="K78" s="30">
        <v>0</v>
      </c>
      <c r="L78" s="30"/>
      <c r="M78" s="30">
        <v>4656846</v>
      </c>
      <c r="N78" s="30"/>
      <c r="O78" s="30">
        <v>0</v>
      </c>
      <c r="P78" s="30"/>
      <c r="Q78" s="30">
        <f t="shared" si="1"/>
        <v>21205692</v>
      </c>
      <c r="R78" s="37"/>
      <c r="S78" s="30">
        <v>3435284</v>
      </c>
      <c r="U78" s="96">
        <f>+Q78-'[1]St of Net Assets - GA'!M76-'[1]LT _Lia - GA'!S77</f>
        <v>0</v>
      </c>
    </row>
    <row r="79" spans="1:21" ht="12.75">
      <c r="A79" s="32" t="s">
        <v>68</v>
      </c>
      <c r="B79" s="32"/>
      <c r="C79" s="30">
        <v>2040145</v>
      </c>
      <c r="D79" s="30"/>
      <c r="E79" s="30">
        <v>0</v>
      </c>
      <c r="F79" s="30"/>
      <c r="G79" s="30">
        <v>542642</v>
      </c>
      <c r="H79" s="30"/>
      <c r="I79" s="30">
        <v>0</v>
      </c>
      <c r="J79" s="30"/>
      <c r="K79" s="30">
        <v>158165</v>
      </c>
      <c r="L79" s="30"/>
      <c r="M79" s="30">
        <v>713201</v>
      </c>
      <c r="N79" s="30"/>
      <c r="O79" s="30">
        <v>0</v>
      </c>
      <c r="P79" s="30"/>
      <c r="Q79" s="30">
        <f t="shared" si="1"/>
        <v>3454153</v>
      </c>
      <c r="R79" s="37"/>
      <c r="S79" s="30">
        <v>1018872</v>
      </c>
      <c r="U79" s="96">
        <f>+Q79-'[1]St of Net Assets - GA'!M77-'[1]LT _Lia - GA'!S78</f>
        <v>0</v>
      </c>
    </row>
    <row r="80" spans="1:21" ht="12.75" hidden="1">
      <c r="A80" s="32" t="s">
        <v>176</v>
      </c>
      <c r="B80" s="32"/>
      <c r="C80" s="30">
        <v>0</v>
      </c>
      <c r="D80" s="30"/>
      <c r="E80" s="30">
        <v>0</v>
      </c>
      <c r="F80" s="30"/>
      <c r="G80" s="30">
        <v>0</v>
      </c>
      <c r="H80" s="30"/>
      <c r="I80" s="30">
        <v>0</v>
      </c>
      <c r="J80" s="30"/>
      <c r="K80" s="30">
        <v>0</v>
      </c>
      <c r="L80" s="30"/>
      <c r="M80" s="30">
        <v>0</v>
      </c>
      <c r="N80" s="30"/>
      <c r="O80" s="30">
        <v>0</v>
      </c>
      <c r="P80" s="30"/>
      <c r="Q80" s="30">
        <f t="shared" si="1"/>
        <v>0</v>
      </c>
      <c r="R80" s="37"/>
      <c r="S80" s="30">
        <v>0</v>
      </c>
      <c r="U80" s="96">
        <f>+Q80-'[1]St of Net Assets - GA'!M78-'[1]LT _Lia - GA'!S79</f>
        <v>0</v>
      </c>
    </row>
    <row r="81" spans="1:21" ht="12.75">
      <c r="A81" s="32" t="s">
        <v>178</v>
      </c>
      <c r="B81" s="32"/>
      <c r="C81" s="30">
        <v>13307064</v>
      </c>
      <c r="D81" s="30"/>
      <c r="E81" s="30">
        <v>7005944</v>
      </c>
      <c r="F81" s="30"/>
      <c r="G81" s="30">
        <v>6000000</v>
      </c>
      <c r="H81" s="30"/>
      <c r="I81" s="30">
        <v>0</v>
      </c>
      <c r="J81" s="30"/>
      <c r="K81" s="30">
        <v>1895352</v>
      </c>
      <c r="L81" s="30"/>
      <c r="M81" s="30">
        <v>4316909</v>
      </c>
      <c r="N81" s="30"/>
      <c r="O81" s="30">
        <v>13180</v>
      </c>
      <c r="P81" s="30"/>
      <c r="Q81" s="30">
        <f t="shared" si="1"/>
        <v>32538449</v>
      </c>
      <c r="R81" s="37"/>
      <c r="S81" s="30">
        <v>4118293</v>
      </c>
      <c r="U81" s="96">
        <f>+Q81-'[1]St of Net Assets - GA'!M79-'[1]LT _Lia - GA'!S80</f>
        <v>0</v>
      </c>
    </row>
    <row r="82" spans="1:21" ht="12.75">
      <c r="A82" s="32" t="s">
        <v>69</v>
      </c>
      <c r="B82" s="32"/>
      <c r="C82" s="30">
        <f>1665000+1505000+2665000+14030</f>
        <v>5849030</v>
      </c>
      <c r="D82" s="30"/>
      <c r="E82" s="30">
        <v>0</v>
      </c>
      <c r="F82" s="30"/>
      <c r="G82" s="30">
        <v>2662000</v>
      </c>
      <c r="H82" s="30"/>
      <c r="I82" s="30">
        <f>754414+19662</f>
        <v>774076</v>
      </c>
      <c r="J82" s="30"/>
      <c r="K82" s="30">
        <v>96042</v>
      </c>
      <c r="L82" s="30"/>
      <c r="M82" s="30">
        <v>1719962</v>
      </c>
      <c r="N82" s="30"/>
      <c r="O82" s="30">
        <v>3470000</v>
      </c>
      <c r="P82" s="30"/>
      <c r="Q82" s="30">
        <f t="shared" si="1"/>
        <v>14571110</v>
      </c>
      <c r="R82" s="37"/>
      <c r="S82" s="30">
        <v>1730802</v>
      </c>
      <c r="U82" s="96">
        <f>+Q82-'[1]St of Net Assets - GA'!M80-'[1]LT _Lia - GA'!S81</f>
        <v>0</v>
      </c>
    </row>
    <row r="83" spans="1:21" ht="12.75">
      <c r="A83" s="32" t="s">
        <v>98</v>
      </c>
      <c r="B83" s="32"/>
      <c r="C83" s="30">
        <v>4645000</v>
      </c>
      <c r="D83" s="30"/>
      <c r="E83" s="30">
        <v>273563</v>
      </c>
      <c r="F83" s="30"/>
      <c r="G83" s="30">
        <v>230000</v>
      </c>
      <c r="H83" s="30"/>
      <c r="I83" s="30">
        <v>0</v>
      </c>
      <c r="J83" s="30"/>
      <c r="K83" s="30">
        <v>42145</v>
      </c>
      <c r="L83" s="30"/>
      <c r="M83" s="30">
        <v>2410389</v>
      </c>
      <c r="N83" s="30"/>
      <c r="O83" s="30">
        <v>0</v>
      </c>
      <c r="P83" s="30"/>
      <c r="Q83" s="30">
        <f t="shared" si="1"/>
        <v>7601097</v>
      </c>
      <c r="R83" s="37"/>
      <c r="S83" s="30">
        <v>1541691</v>
      </c>
      <c r="U83" s="96">
        <f>+Q83-'[1]St of Net Assets - GA'!M82-'[1]LT _Lia - GA'!S82</f>
        <v>0</v>
      </c>
    </row>
    <row r="84" spans="1:21" ht="12.75">
      <c r="A84" s="32" t="s">
        <v>70</v>
      </c>
      <c r="B84" s="32"/>
      <c r="C84" s="30">
        <v>12788601</v>
      </c>
      <c r="D84" s="30"/>
      <c r="E84" s="30">
        <v>0</v>
      </c>
      <c r="F84" s="30"/>
      <c r="G84" s="30">
        <v>0</v>
      </c>
      <c r="H84" s="30"/>
      <c r="I84" s="30">
        <f>39787+275640+18089</f>
        <v>333516</v>
      </c>
      <c r="J84" s="30"/>
      <c r="K84" s="30">
        <v>2968909</v>
      </c>
      <c r="L84" s="30"/>
      <c r="M84" s="30">
        <v>2177397</v>
      </c>
      <c r="N84" s="30"/>
      <c r="O84" s="30">
        <v>0</v>
      </c>
      <c r="P84" s="30"/>
      <c r="Q84" s="30">
        <f t="shared" si="1"/>
        <v>18268423</v>
      </c>
      <c r="R84" s="37"/>
      <c r="S84" s="30">
        <v>2570023</v>
      </c>
      <c r="U84" s="96">
        <f>+Q84-'[1]St of Net Assets - GA'!M83-'[1]LT _Lia - GA'!S83</f>
        <v>0</v>
      </c>
    </row>
    <row r="85" spans="1:21" ht="12.75">
      <c r="A85" s="32" t="s">
        <v>71</v>
      </c>
      <c r="B85" s="32"/>
      <c r="C85" s="30">
        <v>5440000</v>
      </c>
      <c r="D85" s="30"/>
      <c r="E85" s="30">
        <v>0</v>
      </c>
      <c r="F85" s="30"/>
      <c r="G85" s="30">
        <v>661000</v>
      </c>
      <c r="H85" s="30"/>
      <c r="I85" s="30">
        <v>82370</v>
      </c>
      <c r="J85" s="30"/>
      <c r="K85" s="30">
        <v>0</v>
      </c>
      <c r="L85" s="30"/>
      <c r="M85" s="30">
        <v>1738981</v>
      </c>
      <c r="N85" s="30"/>
      <c r="O85" s="30">
        <v>0</v>
      </c>
      <c r="P85" s="30"/>
      <c r="Q85" s="30">
        <f t="shared" si="1"/>
        <v>7922351</v>
      </c>
      <c r="R85" s="37"/>
      <c r="S85" s="30">
        <v>1440770</v>
      </c>
      <c r="U85" s="96">
        <f>+Q85-'[1]St of Net Assets - GA'!M84-'[1]LT _Lia - GA'!S84</f>
        <v>0</v>
      </c>
    </row>
    <row r="86" spans="1:21" ht="12.75">
      <c r="A86" s="32" t="s">
        <v>72</v>
      </c>
      <c r="B86" s="32"/>
      <c r="C86" s="30">
        <v>748000</v>
      </c>
      <c r="D86" s="30"/>
      <c r="E86" s="30">
        <v>0</v>
      </c>
      <c r="F86" s="30"/>
      <c r="G86" s="30">
        <v>72377</v>
      </c>
      <c r="H86" s="30"/>
      <c r="I86" s="30">
        <v>22839</v>
      </c>
      <c r="J86" s="30"/>
      <c r="K86" s="30">
        <v>21670</v>
      </c>
      <c r="L86" s="30"/>
      <c r="M86" s="30">
        <v>1579288</v>
      </c>
      <c r="N86" s="30"/>
      <c r="O86" s="30">
        <v>0</v>
      </c>
      <c r="P86" s="30"/>
      <c r="Q86" s="30">
        <f t="shared" si="1"/>
        <v>2444174</v>
      </c>
      <c r="R86" s="37"/>
      <c r="S86" s="30">
        <v>306763</v>
      </c>
      <c r="U86" s="96">
        <f>+Q86-'[1]St of Net Assets - GA'!M85-'[1]LT _Lia - GA'!S85</f>
        <v>0</v>
      </c>
    </row>
    <row r="87" spans="1:21" ht="12.75">
      <c r="A87" s="32" t="s">
        <v>73</v>
      </c>
      <c r="B87" s="32"/>
      <c r="C87" s="30">
        <v>0</v>
      </c>
      <c r="D87" s="30"/>
      <c r="E87" s="30">
        <v>4767323</v>
      </c>
      <c r="F87" s="30"/>
      <c r="G87" s="30">
        <v>0</v>
      </c>
      <c r="H87" s="30"/>
      <c r="I87" s="30">
        <v>3638234</v>
      </c>
      <c r="J87" s="30"/>
      <c r="K87" s="30">
        <v>131132</v>
      </c>
      <c r="L87" s="30"/>
      <c r="M87" s="30">
        <v>8801764</v>
      </c>
      <c r="N87" s="30"/>
      <c r="O87" s="30">
        <v>0</v>
      </c>
      <c r="P87" s="30"/>
      <c r="Q87" s="30">
        <f t="shared" si="1"/>
        <v>17338453</v>
      </c>
      <c r="R87" s="37"/>
      <c r="S87" s="30">
        <v>5479895</v>
      </c>
      <c r="U87" s="96">
        <f>+Q87-'[1]St of Net Assets - GA'!M86-'[1]LT _Lia - GA'!S86</f>
        <v>17338453</v>
      </c>
    </row>
    <row r="88" spans="1:21" ht="12.75">
      <c r="A88" s="32" t="s">
        <v>74</v>
      </c>
      <c r="B88" s="32"/>
      <c r="C88" s="30">
        <v>61414960</v>
      </c>
      <c r="D88" s="30"/>
      <c r="E88" s="30">
        <v>0</v>
      </c>
      <c r="F88" s="30"/>
      <c r="G88" s="30">
        <v>0</v>
      </c>
      <c r="H88" s="30"/>
      <c r="I88" s="30">
        <v>0</v>
      </c>
      <c r="J88" s="30"/>
      <c r="K88" s="30">
        <v>2870362</v>
      </c>
      <c r="L88" s="30"/>
      <c r="M88" s="30">
        <v>20694315</v>
      </c>
      <c r="N88" s="30"/>
      <c r="O88" s="30">
        <f>1267672+763769+3470146-2522721+10283195+5653897</f>
        <v>18915958</v>
      </c>
      <c r="P88" s="30"/>
      <c r="Q88" s="30">
        <f t="shared" si="1"/>
        <v>103895595</v>
      </c>
      <c r="R88" s="37"/>
      <c r="S88" s="30">
        <v>13763467</v>
      </c>
      <c r="U88" s="96">
        <f>+Q88-'[1]St of Net Assets - GA'!M87-'[1]LT _Lia - GA'!S87</f>
        <v>0</v>
      </c>
    </row>
    <row r="89" spans="1:21" ht="12.75">
      <c r="A89" s="32" t="s">
        <v>75</v>
      </c>
      <c r="B89" s="32"/>
      <c r="C89" s="30">
        <v>16419076</v>
      </c>
      <c r="D89" s="30"/>
      <c r="E89" s="30">
        <v>2579227</v>
      </c>
      <c r="F89" s="30"/>
      <c r="G89" s="30">
        <v>9820000</v>
      </c>
      <c r="H89" s="30"/>
      <c r="I89" s="30">
        <f>1545313+905294</f>
        <v>2450607</v>
      </c>
      <c r="J89" s="30"/>
      <c r="K89" s="30">
        <v>993824</v>
      </c>
      <c r="L89" s="30"/>
      <c r="M89" s="30">
        <v>5163240</v>
      </c>
      <c r="N89" s="30"/>
      <c r="O89" s="30">
        <v>2474718</v>
      </c>
      <c r="P89" s="30"/>
      <c r="Q89" s="30">
        <f t="shared" si="1"/>
        <v>39900692</v>
      </c>
      <c r="R89" s="37"/>
      <c r="S89" s="30">
        <v>3011298</v>
      </c>
      <c r="U89" s="96">
        <f>+Q89-'[1]St of Net Assets - GA'!M88-'[1]LT _Lia - GA'!S88</f>
        <v>-8280000</v>
      </c>
    </row>
    <row r="90" spans="1:21" ht="12.75">
      <c r="A90" s="32" t="s">
        <v>76</v>
      </c>
      <c r="B90" s="32"/>
      <c r="C90" s="30">
        <v>937000</v>
      </c>
      <c r="D90" s="30"/>
      <c r="E90" s="30">
        <v>0</v>
      </c>
      <c r="F90" s="30"/>
      <c r="G90" s="30">
        <v>0</v>
      </c>
      <c r="H90" s="30"/>
      <c r="I90" s="30">
        <v>0</v>
      </c>
      <c r="J90" s="30"/>
      <c r="K90" s="30">
        <v>12500</v>
      </c>
      <c r="L90" s="30"/>
      <c r="M90" s="30">
        <v>1723794</v>
      </c>
      <c r="N90" s="30"/>
      <c r="O90" s="30">
        <v>0</v>
      </c>
      <c r="P90" s="30"/>
      <c r="Q90" s="30">
        <f t="shared" si="1"/>
        <v>2673294</v>
      </c>
      <c r="R90" s="37"/>
      <c r="S90" s="30">
        <v>724735</v>
      </c>
      <c r="U90" s="96">
        <f>+Q90-'[1]St of Net Assets - GA'!M89-'[1]LT _Lia - GA'!S89</f>
        <v>0</v>
      </c>
    </row>
    <row r="91" spans="1:21" ht="12.75">
      <c r="A91" s="32" t="s">
        <v>77</v>
      </c>
      <c r="B91" s="32"/>
      <c r="C91" s="30">
        <v>2775000</v>
      </c>
      <c r="D91" s="30"/>
      <c r="E91" s="30">
        <v>0</v>
      </c>
      <c r="F91" s="30"/>
      <c r="G91" s="30">
        <v>0</v>
      </c>
      <c r="H91" s="30"/>
      <c r="I91" s="30">
        <v>64383</v>
      </c>
      <c r="J91" s="30"/>
      <c r="K91" s="30">
        <v>0</v>
      </c>
      <c r="L91" s="30"/>
      <c r="M91" s="30">
        <v>1081503</v>
      </c>
      <c r="N91" s="30"/>
      <c r="O91" s="30">
        <v>4690000</v>
      </c>
      <c r="P91" s="30"/>
      <c r="Q91" s="30">
        <f t="shared" si="1"/>
        <v>8610886</v>
      </c>
      <c r="R91" s="37"/>
      <c r="S91" s="30">
        <v>1700541</v>
      </c>
      <c r="U91" s="96">
        <f>+Q91-'[1]St of Net Assets - GA'!M90-'[1]LT _Lia - GA'!S90</f>
        <v>8610886</v>
      </c>
    </row>
    <row r="92" spans="1:21" ht="12.75">
      <c r="A92" s="32" t="s">
        <v>78</v>
      </c>
      <c r="B92" s="32"/>
      <c r="C92" s="30">
        <v>2089847</v>
      </c>
      <c r="D92" s="30"/>
      <c r="E92" s="30">
        <v>62026</v>
      </c>
      <c r="F92" s="30"/>
      <c r="G92" s="30">
        <v>0</v>
      </c>
      <c r="H92" s="30"/>
      <c r="I92" s="30">
        <v>274615</v>
      </c>
      <c r="J92" s="30"/>
      <c r="K92" s="30">
        <v>208050</v>
      </c>
      <c r="L92" s="30"/>
      <c r="M92" s="30">
        <v>737840</v>
      </c>
      <c r="N92" s="30"/>
      <c r="O92" s="30">
        <v>0</v>
      </c>
      <c r="P92" s="30"/>
      <c r="Q92" s="30">
        <f>SUM(C92:O92)</f>
        <v>3372378</v>
      </c>
      <c r="R92" s="37"/>
      <c r="S92" s="30">
        <v>719439</v>
      </c>
      <c r="U92" s="96">
        <f>Q92-'St of Net Assets - GA'!M92-'LT _Lia - GA'!S92</f>
        <v>-25755</v>
      </c>
    </row>
    <row r="93" spans="1:21" ht="12.75" hidden="1">
      <c r="A93" s="32" t="s">
        <v>79</v>
      </c>
      <c r="B93" s="32"/>
      <c r="C93" s="30">
        <v>0</v>
      </c>
      <c r="D93" s="30"/>
      <c r="E93" s="30">
        <v>0</v>
      </c>
      <c r="F93" s="30"/>
      <c r="G93" s="30">
        <v>0</v>
      </c>
      <c r="H93" s="30"/>
      <c r="I93" s="30">
        <v>0</v>
      </c>
      <c r="J93" s="30"/>
      <c r="K93" s="30">
        <v>0</v>
      </c>
      <c r="L93" s="30"/>
      <c r="M93" s="30">
        <v>0</v>
      </c>
      <c r="N93" s="30"/>
      <c r="O93" s="30">
        <v>0</v>
      </c>
      <c r="P93" s="30"/>
      <c r="Q93" s="30">
        <f t="shared" si="1"/>
        <v>0</v>
      </c>
      <c r="R93" s="37"/>
      <c r="S93" s="30">
        <v>0</v>
      </c>
      <c r="U93" s="96">
        <f>+Q93-'[1]St of Net Assets - GA'!M92-'[1]LT _Lia - GA'!S92</f>
        <v>0</v>
      </c>
    </row>
    <row r="94" spans="1:21" ht="12.75">
      <c r="A94" s="32" t="s">
        <v>80</v>
      </c>
      <c r="B94" s="32"/>
      <c r="C94" s="30">
        <v>4954111</v>
      </c>
      <c r="D94" s="30"/>
      <c r="E94" s="30">
        <v>13304853</v>
      </c>
      <c r="F94" s="30"/>
      <c r="G94" s="30">
        <v>0</v>
      </c>
      <c r="H94" s="30"/>
      <c r="I94" s="30">
        <v>8682975</v>
      </c>
      <c r="J94" s="30"/>
      <c r="K94" s="30">
        <v>11584</v>
      </c>
      <c r="L94" s="30"/>
      <c r="M94" s="30">
        <v>4634461</v>
      </c>
      <c r="N94" s="30"/>
      <c r="O94" s="30">
        <v>0</v>
      </c>
      <c r="P94" s="30"/>
      <c r="Q94" s="30">
        <f aca="true" t="shared" si="2" ref="Q94:Q99">SUM(C94:O94)</f>
        <v>31587984</v>
      </c>
      <c r="R94" s="37"/>
      <c r="S94" s="30">
        <v>3096637</v>
      </c>
      <c r="U94" s="96">
        <f>+Q94-'[1]St of Net Assets - GA'!M93-'[1]LT _Lia - GA'!S93</f>
        <v>0</v>
      </c>
    </row>
    <row r="95" spans="1:21" ht="12.75">
      <c r="A95" s="32" t="s">
        <v>81</v>
      </c>
      <c r="B95" s="32"/>
      <c r="C95" s="30">
        <v>5905575</v>
      </c>
      <c r="D95" s="30"/>
      <c r="E95" s="30">
        <v>0</v>
      </c>
      <c r="F95" s="30"/>
      <c r="G95" s="30">
        <v>302000</v>
      </c>
      <c r="H95" s="30"/>
      <c r="I95" s="30">
        <v>0</v>
      </c>
      <c r="J95" s="30"/>
      <c r="K95" s="30">
        <v>40250</v>
      </c>
      <c r="L95" s="30"/>
      <c r="M95" s="30">
        <v>283122</v>
      </c>
      <c r="N95" s="30"/>
      <c r="O95" s="30">
        <v>321862</v>
      </c>
      <c r="P95" s="30"/>
      <c r="Q95" s="30">
        <f t="shared" si="2"/>
        <v>6852809</v>
      </c>
      <c r="R95" s="37"/>
      <c r="S95" s="30">
        <v>614101</v>
      </c>
      <c r="U95" s="96">
        <f>+Q95-'[1]St of Net Assets - GA'!M94-'[1]LT _Lia - GA'!S94</f>
        <v>6852809</v>
      </c>
    </row>
    <row r="96" spans="1:21" ht="12.75">
      <c r="A96" s="32" t="s">
        <v>82</v>
      </c>
      <c r="B96" s="32"/>
      <c r="C96" s="30">
        <v>10067500</v>
      </c>
      <c r="D96" s="30"/>
      <c r="E96" s="30">
        <v>0</v>
      </c>
      <c r="F96" s="30"/>
      <c r="G96" s="30">
        <v>0</v>
      </c>
      <c r="H96" s="30"/>
      <c r="I96" s="30">
        <v>95000</v>
      </c>
      <c r="J96" s="30"/>
      <c r="K96" s="30">
        <v>0</v>
      </c>
      <c r="L96" s="30"/>
      <c r="M96" s="30">
        <v>3190606</v>
      </c>
      <c r="N96" s="30"/>
      <c r="O96" s="30">
        <v>0</v>
      </c>
      <c r="P96" s="30"/>
      <c r="Q96" s="30">
        <f t="shared" si="2"/>
        <v>13353106</v>
      </c>
      <c r="R96" s="37"/>
      <c r="S96" s="30">
        <v>1432895</v>
      </c>
      <c r="U96" s="96">
        <f>+Q96-'[1]St of Net Assets - GA'!M95-'[1]LT _Lia - GA'!S95</f>
        <v>0</v>
      </c>
    </row>
    <row r="97" spans="1:21" ht="12.75" hidden="1">
      <c r="A97" s="32" t="s">
        <v>174</v>
      </c>
      <c r="B97" s="32"/>
      <c r="C97" s="30">
        <v>0</v>
      </c>
      <c r="D97" s="30"/>
      <c r="E97" s="30">
        <v>0</v>
      </c>
      <c r="F97" s="30"/>
      <c r="G97" s="30">
        <v>0</v>
      </c>
      <c r="H97" s="30"/>
      <c r="I97" s="30">
        <v>0</v>
      </c>
      <c r="J97" s="30"/>
      <c r="K97" s="30">
        <v>0</v>
      </c>
      <c r="L97" s="30"/>
      <c r="M97" s="30">
        <v>0</v>
      </c>
      <c r="N97" s="30"/>
      <c r="O97" s="30">
        <v>0</v>
      </c>
      <c r="P97" s="30"/>
      <c r="Q97" s="30">
        <f t="shared" si="2"/>
        <v>0</v>
      </c>
      <c r="R97" s="37"/>
      <c r="S97" s="30">
        <v>0</v>
      </c>
      <c r="U97" s="96">
        <f>+Q97-'[1]St of Net Assets - GA'!M96-'[1]LT _Lia - GA'!S96</f>
        <v>0</v>
      </c>
    </row>
    <row r="98" spans="1:21" ht="12.75">
      <c r="A98" s="32" t="s">
        <v>83</v>
      </c>
      <c r="B98" s="32"/>
      <c r="C98" s="30">
        <v>6948739</v>
      </c>
      <c r="D98" s="30"/>
      <c r="E98" s="30">
        <v>1401000</v>
      </c>
      <c r="F98" s="30"/>
      <c r="G98" s="30">
        <v>0</v>
      </c>
      <c r="H98" s="30"/>
      <c r="I98" s="30">
        <v>0</v>
      </c>
      <c r="J98" s="30"/>
      <c r="K98" s="30">
        <v>6110</v>
      </c>
      <c r="L98" s="30"/>
      <c r="M98" s="30">
        <v>3953704</v>
      </c>
      <c r="N98" s="30"/>
      <c r="O98" s="30">
        <v>0</v>
      </c>
      <c r="P98" s="30"/>
      <c r="Q98" s="30">
        <f t="shared" si="2"/>
        <v>12309553</v>
      </c>
      <c r="R98" s="37"/>
      <c r="S98" s="30">
        <v>2727818</v>
      </c>
      <c r="U98" s="96">
        <f>+Q98-'[1]St of Net Assets - GA'!M97-'[1]LT _Lia - GA'!S97</f>
        <v>0</v>
      </c>
    </row>
    <row r="99" spans="1:21" ht="12.75" hidden="1">
      <c r="A99" s="32" t="s">
        <v>175</v>
      </c>
      <c r="B99" s="32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>
        <f t="shared" si="2"/>
        <v>0</v>
      </c>
      <c r="R99" s="37"/>
      <c r="S99" s="30"/>
      <c r="U99" s="96">
        <f>+Q99-'St of Net Assets - GA'!M99-'LT _Lia - GA'!S99</f>
        <v>0</v>
      </c>
    </row>
    <row r="100" spans="1:19" ht="12.75">
      <c r="A100" s="32"/>
      <c r="B100" s="3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32"/>
    </row>
    <row r="101" spans="1:19" ht="12.75">
      <c r="A101" s="32"/>
      <c r="B101" s="3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2"/>
    </row>
    <row r="102" spans="1:19" ht="12.75">
      <c r="A102" s="32"/>
      <c r="B102" s="32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</row>
    <row r="103" spans="1:19" ht="12.75">
      <c r="A103" s="32"/>
      <c r="B103" s="32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</row>
    <row r="104" spans="1:19" ht="12.75">
      <c r="A104" s="32"/>
      <c r="B104" s="32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</row>
    <row r="105" spans="1:19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</sheetData>
  <sheetProtection/>
  <printOptions/>
  <pageMargins left="1" right="1" top="0.5" bottom="0.5" header="0" footer="0.25"/>
  <pageSetup firstPageNumber="58" useFirstPageNumber="1" horizontalDpi="600" verticalDpi="600" orientation="portrait" pageOrder="overThenDown" r:id="rId1"/>
  <headerFooter alignWithMargins="0">
    <oddFooter>&amp;C&amp;"Times New Roman,Regular"&amp;11&amp;P</oddFooter>
  </headerFooter>
  <rowBreaks count="1" manualBreakCount="1">
    <brk id="7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AA10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82" sqref="I82"/>
    </sheetView>
  </sheetViews>
  <sheetFormatPr defaultColWidth="9.140625" defaultRowHeight="12.75"/>
  <cols>
    <col min="1" max="1" width="15.7109375" style="97" customWidth="1"/>
    <col min="2" max="2" width="1.7109375" style="26" customWidth="1"/>
    <col min="3" max="3" width="10.7109375" style="39" customWidth="1"/>
    <col min="4" max="4" width="1.7109375" style="39" customWidth="1"/>
    <col min="5" max="5" width="10.7109375" style="39" customWidth="1"/>
    <col min="6" max="6" width="1.7109375" style="39" customWidth="1"/>
    <col min="7" max="7" width="10.7109375" style="39" customWidth="1"/>
    <col min="8" max="8" width="1.7109375" style="39" customWidth="1"/>
    <col min="9" max="9" width="10.7109375" style="39" customWidth="1"/>
    <col min="10" max="10" width="1.7109375" style="39" customWidth="1"/>
    <col min="11" max="11" width="10.7109375" style="39" customWidth="1"/>
    <col min="12" max="12" width="1.7109375" style="39" customWidth="1"/>
    <col min="13" max="13" width="10.7109375" style="39" customWidth="1"/>
    <col min="14" max="14" width="1.7109375" style="39" customWidth="1"/>
    <col min="15" max="15" width="10.7109375" style="39" customWidth="1"/>
    <col min="16" max="16" width="1.7109375" style="39" customWidth="1"/>
    <col min="17" max="17" width="12.7109375" style="39" customWidth="1"/>
    <col min="18" max="18" width="1.7109375" style="39" customWidth="1"/>
    <col min="19" max="19" width="10.7109375" style="39" customWidth="1"/>
    <col min="20" max="20" width="1.7109375" style="39" customWidth="1"/>
    <col min="21" max="21" width="10.7109375" style="39" customWidth="1"/>
    <col min="22" max="22" width="1.7109375" style="39" customWidth="1"/>
    <col min="23" max="23" width="10.7109375" style="96" customWidth="1"/>
    <col min="24" max="24" width="1.7109375" style="96" customWidth="1"/>
    <col min="25" max="25" width="12.7109375" style="96" customWidth="1"/>
    <col min="26" max="27" width="9.28125" style="26" bestFit="1" customWidth="1"/>
    <col min="28" max="16384" width="9.140625" style="26" customWidth="1"/>
  </cols>
  <sheetData>
    <row r="1" spans="1:25" ht="12.75">
      <c r="A1" s="49" t="s">
        <v>198</v>
      </c>
      <c r="B1" s="3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2.75">
      <c r="A2" s="49" t="s">
        <v>248</v>
      </c>
      <c r="B2" s="3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2.75">
      <c r="A3" s="33"/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2.75">
      <c r="A4" s="49" t="s">
        <v>184</v>
      </c>
      <c r="B4" s="3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2.75">
      <c r="A5" s="33"/>
      <c r="B5" s="3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2.75">
      <c r="A6" s="49" t="s">
        <v>253</v>
      </c>
      <c r="B6" s="33"/>
      <c r="C6" s="50" t="s">
        <v>144</v>
      </c>
      <c r="D6" s="50"/>
      <c r="E6" s="50"/>
      <c r="F6" s="50"/>
      <c r="G6" s="50"/>
      <c r="H6" s="24"/>
      <c r="I6" s="50" t="s">
        <v>145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2" t="s">
        <v>4</v>
      </c>
      <c r="X6" s="51"/>
      <c r="Y6" s="21" t="s">
        <v>4</v>
      </c>
    </row>
    <row r="7" spans="1:25" ht="12.75">
      <c r="A7" s="19"/>
      <c r="B7" s="19"/>
      <c r="C7" s="52" t="s">
        <v>0</v>
      </c>
      <c r="D7" s="52"/>
      <c r="E7" s="52" t="s">
        <v>147</v>
      </c>
      <c r="F7" s="52"/>
      <c r="G7" s="52" t="s">
        <v>87</v>
      </c>
      <c r="H7" s="24"/>
      <c r="I7" s="21" t="s">
        <v>148</v>
      </c>
      <c r="J7" s="21"/>
      <c r="K7" s="21" t="s">
        <v>167</v>
      </c>
      <c r="L7" s="21"/>
      <c r="M7" s="21" t="s">
        <v>105</v>
      </c>
      <c r="N7" s="21"/>
      <c r="O7" s="21" t="s">
        <v>143</v>
      </c>
      <c r="P7" s="21"/>
      <c r="Q7" s="52" t="s">
        <v>149</v>
      </c>
      <c r="R7" s="52"/>
      <c r="S7" s="52"/>
      <c r="T7" s="52"/>
      <c r="U7" s="52"/>
      <c r="V7" s="52"/>
      <c r="W7" s="52" t="s">
        <v>103</v>
      </c>
      <c r="X7" s="52"/>
      <c r="Y7" s="52" t="s">
        <v>177</v>
      </c>
    </row>
    <row r="8" spans="1:25" ht="12.75">
      <c r="A8" s="53" t="s">
        <v>5</v>
      </c>
      <c r="B8" s="19"/>
      <c r="C8" s="20" t="s">
        <v>8</v>
      </c>
      <c r="D8" s="24"/>
      <c r="E8" s="20" t="s">
        <v>151</v>
      </c>
      <c r="F8" s="24"/>
      <c r="G8" s="20" t="s">
        <v>152</v>
      </c>
      <c r="H8" s="24"/>
      <c r="I8" s="20" t="s">
        <v>6</v>
      </c>
      <c r="J8" s="24"/>
      <c r="K8" s="20" t="s">
        <v>6</v>
      </c>
      <c r="L8" s="20"/>
      <c r="M8" s="20" t="s">
        <v>6</v>
      </c>
      <c r="N8" s="24"/>
      <c r="O8" s="20" t="s">
        <v>152</v>
      </c>
      <c r="P8" s="24"/>
      <c r="Q8" s="20" t="s">
        <v>153</v>
      </c>
      <c r="R8" s="24"/>
      <c r="S8" s="20" t="s">
        <v>105</v>
      </c>
      <c r="T8" s="24"/>
      <c r="U8" s="20" t="s">
        <v>154</v>
      </c>
      <c r="V8" s="24"/>
      <c r="W8" s="20" t="s">
        <v>12</v>
      </c>
      <c r="X8" s="24"/>
      <c r="Y8" s="20" t="s">
        <v>251</v>
      </c>
    </row>
    <row r="9" spans="1:25" ht="12.75">
      <c r="A9" s="19"/>
      <c r="B9" s="19"/>
      <c r="C9" s="21"/>
      <c r="D9" s="24"/>
      <c r="E9" s="21"/>
      <c r="F9" s="24"/>
      <c r="G9" s="21"/>
      <c r="H9" s="24"/>
      <c r="I9" s="21"/>
      <c r="J9" s="24"/>
      <c r="K9" s="21"/>
      <c r="L9" s="21"/>
      <c r="M9" s="21"/>
      <c r="N9" s="24"/>
      <c r="O9" s="21"/>
      <c r="P9" s="24"/>
      <c r="Q9" s="21"/>
      <c r="R9" s="24"/>
      <c r="S9" s="21"/>
      <c r="T9" s="24"/>
      <c r="U9" s="21"/>
      <c r="V9" s="24"/>
      <c r="W9" s="24"/>
      <c r="X9" s="24"/>
      <c r="Y9" s="21"/>
    </row>
    <row r="10" spans="1:25" ht="12.75" hidden="1">
      <c r="A10" s="89" t="s">
        <v>237</v>
      </c>
      <c r="B10" s="19"/>
      <c r="C10" s="44">
        <v>0</v>
      </c>
      <c r="D10" s="44"/>
      <c r="E10" s="44">
        <v>0</v>
      </c>
      <c r="F10" s="44"/>
      <c r="G10" s="44">
        <v>0</v>
      </c>
      <c r="H10" s="44"/>
      <c r="I10" s="44">
        <v>0</v>
      </c>
      <c r="J10" s="44"/>
      <c r="K10" s="44">
        <v>0</v>
      </c>
      <c r="L10" s="44"/>
      <c r="M10" s="44">
        <v>0</v>
      </c>
      <c r="N10" s="44"/>
      <c r="O10" s="44">
        <v>0</v>
      </c>
      <c r="P10" s="44"/>
      <c r="Q10" s="44">
        <v>0</v>
      </c>
      <c r="R10" s="44"/>
      <c r="S10" s="44">
        <v>0</v>
      </c>
      <c r="T10" s="44"/>
      <c r="U10" s="44">
        <v>0</v>
      </c>
      <c r="V10" s="44"/>
      <c r="W10" s="44">
        <f>SUM(I10:U10)</f>
        <v>0</v>
      </c>
      <c r="X10" s="44"/>
      <c r="Y10" s="44">
        <f>SUM(B10:V10)</f>
        <v>0</v>
      </c>
    </row>
    <row r="11" spans="1:25" ht="12.75">
      <c r="A11" s="23" t="s">
        <v>13</v>
      </c>
      <c r="B11" s="23"/>
      <c r="C11" s="44">
        <v>9396116</v>
      </c>
      <c r="D11" s="44"/>
      <c r="E11" s="44">
        <v>32225824</v>
      </c>
      <c r="F11" s="44"/>
      <c r="G11" s="44">
        <v>2555295</v>
      </c>
      <c r="H11" s="44"/>
      <c r="I11" s="44">
        <f>5015408+5304132+1619840</f>
        <v>11939380</v>
      </c>
      <c r="J11" s="44"/>
      <c r="K11" s="44">
        <v>14878545</v>
      </c>
      <c r="L11" s="44"/>
      <c r="M11" s="44">
        <v>0</v>
      </c>
      <c r="N11" s="44"/>
      <c r="O11" s="44">
        <v>4784125</v>
      </c>
      <c r="P11" s="44"/>
      <c r="Q11" s="44">
        <f>330330</f>
        <v>330330</v>
      </c>
      <c r="R11" s="44"/>
      <c r="S11" s="44">
        <f>3344886+126100+15437</f>
        <v>3486423</v>
      </c>
      <c r="T11" s="44"/>
      <c r="U11" s="44">
        <v>0</v>
      </c>
      <c r="V11" s="44"/>
      <c r="W11" s="44">
        <f>SUM(I11:U11)</f>
        <v>35418803</v>
      </c>
      <c r="X11" s="44"/>
      <c r="Y11" s="44">
        <f>SUM(B11:V11)</f>
        <v>79596038</v>
      </c>
    </row>
    <row r="12" spans="1:25" ht="12.75">
      <c r="A12" s="23" t="s">
        <v>14</v>
      </c>
      <c r="B12" s="23"/>
      <c r="C12" s="24">
        <v>4245362</v>
      </c>
      <c r="D12" s="24"/>
      <c r="E12" s="24">
        <v>17805148</v>
      </c>
      <c r="F12" s="24"/>
      <c r="G12" s="24">
        <v>377532</v>
      </c>
      <c r="H12" s="24"/>
      <c r="I12" s="24">
        <f>2261365+726622+3521478</f>
        <v>6509465</v>
      </c>
      <c r="J12" s="24"/>
      <c r="K12" s="24">
        <f>5028877+856255+400200</f>
        <v>6285332</v>
      </c>
      <c r="L12" s="24"/>
      <c r="M12" s="24">
        <v>4372</v>
      </c>
      <c r="N12" s="24"/>
      <c r="O12" s="24">
        <v>2233746</v>
      </c>
      <c r="P12" s="24"/>
      <c r="Q12" s="24">
        <v>1197751</v>
      </c>
      <c r="R12" s="24"/>
      <c r="S12" s="24">
        <v>1429783</v>
      </c>
      <c r="T12" s="24"/>
      <c r="U12" s="24">
        <v>-432072</v>
      </c>
      <c r="V12" s="24"/>
      <c r="W12" s="24">
        <f aca="true" t="shared" si="0" ref="W12:W28">SUM(I12:U12)</f>
        <v>17228377</v>
      </c>
      <c r="X12" s="24"/>
      <c r="Y12" s="24">
        <f aca="true" t="shared" si="1" ref="Y12:Y28">SUM(B12:V12)</f>
        <v>39656419</v>
      </c>
    </row>
    <row r="13" spans="1:25" ht="12.75">
      <c r="A13" s="23" t="s">
        <v>15</v>
      </c>
      <c r="B13" s="23"/>
      <c r="C13" s="24">
        <v>13615734</v>
      </c>
      <c r="D13" s="24"/>
      <c r="E13" s="24">
        <v>45490058</v>
      </c>
      <c r="F13" s="24"/>
      <c r="G13" s="24">
        <v>4290636</v>
      </c>
      <c r="H13" s="24"/>
      <c r="I13" s="24">
        <f>5370402+7074091+3442667+17429+889449</f>
        <v>16794038</v>
      </c>
      <c r="J13" s="24"/>
      <c r="K13" s="24">
        <v>7361793</v>
      </c>
      <c r="L13" s="24"/>
      <c r="M13" s="24">
        <v>0</v>
      </c>
      <c r="N13" s="24"/>
      <c r="O13" s="24">
        <v>5236791</v>
      </c>
      <c r="P13" s="24"/>
      <c r="Q13" s="24">
        <v>3068855</v>
      </c>
      <c r="R13" s="24"/>
      <c r="S13" s="24">
        <f>128272+626553-107134</f>
        <v>647691</v>
      </c>
      <c r="T13" s="24"/>
      <c r="U13" s="24">
        <v>0</v>
      </c>
      <c r="V13" s="24"/>
      <c r="W13" s="24">
        <f>SUM(I13:U13)</f>
        <v>33109168</v>
      </c>
      <c r="X13" s="24"/>
      <c r="Y13" s="24">
        <f t="shared" si="1"/>
        <v>96505596</v>
      </c>
    </row>
    <row r="14" spans="1:25" ht="12.75">
      <c r="A14" s="23" t="s">
        <v>16</v>
      </c>
      <c r="B14" s="23"/>
      <c r="C14" s="24">
        <v>4753565</v>
      </c>
      <c r="D14" s="24"/>
      <c r="E14" s="24">
        <v>27019069</v>
      </c>
      <c r="F14" s="24"/>
      <c r="G14" s="24">
        <v>716149</v>
      </c>
      <c r="H14" s="24"/>
      <c r="I14" s="24">
        <f>1726933+3365553+4251531+1522723+615325</f>
        <v>11482065</v>
      </c>
      <c r="J14" s="24"/>
      <c r="K14" s="24">
        <f>5000554+1249743</f>
        <v>6250297</v>
      </c>
      <c r="L14" s="24"/>
      <c r="M14" s="24">
        <v>0</v>
      </c>
      <c r="N14" s="24"/>
      <c r="O14" s="24">
        <v>1739663</v>
      </c>
      <c r="P14" s="24"/>
      <c r="Q14" s="24">
        <v>1607194</v>
      </c>
      <c r="R14" s="24"/>
      <c r="S14" s="24">
        <f>60737+1368870</f>
        <v>1429607</v>
      </c>
      <c r="T14" s="24"/>
      <c r="U14" s="24">
        <v>-1423219</v>
      </c>
      <c r="V14" s="24"/>
      <c r="W14" s="24">
        <f t="shared" si="0"/>
        <v>21085607</v>
      </c>
      <c r="X14" s="24"/>
      <c r="Y14" s="24">
        <f t="shared" si="1"/>
        <v>53574390</v>
      </c>
    </row>
    <row r="15" spans="1:25" ht="12.75">
      <c r="A15" s="23" t="s">
        <v>17</v>
      </c>
      <c r="B15" s="23"/>
      <c r="C15" s="24">
        <v>6601612</v>
      </c>
      <c r="D15" s="24"/>
      <c r="E15" s="24">
        <v>8919953</v>
      </c>
      <c r="F15" s="24"/>
      <c r="G15" s="24">
        <v>1452044</v>
      </c>
      <c r="H15" s="24"/>
      <c r="I15" s="24">
        <f>2109409+3963351</f>
        <v>6072760</v>
      </c>
      <c r="J15" s="24"/>
      <c r="K15" s="24">
        <f>5071028+760281+1844075</f>
        <v>7675384</v>
      </c>
      <c r="L15" s="24"/>
      <c r="M15" s="24">
        <v>0</v>
      </c>
      <c r="N15" s="24"/>
      <c r="O15" s="24">
        <v>919648</v>
      </c>
      <c r="P15" s="24"/>
      <c r="Q15" s="24">
        <v>1180091</v>
      </c>
      <c r="R15" s="24"/>
      <c r="S15" s="24">
        <f>594466-51296</f>
        <v>543170</v>
      </c>
      <c r="T15" s="24"/>
      <c r="U15" s="24">
        <v>0</v>
      </c>
      <c r="V15" s="24"/>
      <c r="W15" s="24">
        <f t="shared" si="0"/>
        <v>16391053</v>
      </c>
      <c r="X15" s="24"/>
      <c r="Y15" s="24">
        <f t="shared" si="1"/>
        <v>33364662</v>
      </c>
    </row>
    <row r="16" spans="1:25" ht="12.75">
      <c r="A16" s="23" t="s">
        <v>18</v>
      </c>
      <c r="B16" s="23"/>
      <c r="C16" s="24">
        <v>7384249</v>
      </c>
      <c r="D16" s="24"/>
      <c r="E16" s="24">
        <v>29349817</v>
      </c>
      <c r="F16" s="24"/>
      <c r="G16" s="24">
        <v>1547826</v>
      </c>
      <c r="H16" s="24"/>
      <c r="I16" s="24">
        <f>2175609+4395795+778787+1396922+364655</f>
        <v>9111768</v>
      </c>
      <c r="J16" s="24"/>
      <c r="K16" s="24">
        <f>11210345+375000</f>
        <v>11585345</v>
      </c>
      <c r="L16" s="24"/>
      <c r="M16" s="24">
        <v>341089</v>
      </c>
      <c r="N16" s="24"/>
      <c r="O16" s="24">
        <v>1227798</v>
      </c>
      <c r="P16" s="24"/>
      <c r="Q16" s="24">
        <v>2621635</v>
      </c>
      <c r="R16" s="24"/>
      <c r="S16" s="24">
        <v>1082330</v>
      </c>
      <c r="T16" s="24"/>
      <c r="U16" s="24">
        <v>-38331</v>
      </c>
      <c r="V16" s="24"/>
      <c r="W16" s="24">
        <f t="shared" si="0"/>
        <v>25931634</v>
      </c>
      <c r="X16" s="24"/>
      <c r="Y16" s="24">
        <f t="shared" si="1"/>
        <v>64213526</v>
      </c>
    </row>
    <row r="17" spans="1:25" ht="12.75" customHeight="1" hidden="1">
      <c r="A17" s="23" t="s">
        <v>240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f t="shared" si="0"/>
        <v>0</v>
      </c>
      <c r="X17" s="24"/>
      <c r="Y17" s="24">
        <f t="shared" si="1"/>
        <v>0</v>
      </c>
    </row>
    <row r="18" spans="1:25" ht="12.75">
      <c r="A18" s="23" t="s">
        <v>238</v>
      </c>
      <c r="B18" s="23"/>
      <c r="C18" s="24">
        <v>49448002</v>
      </c>
      <c r="D18" s="24"/>
      <c r="E18" s="24">
        <v>115479918</v>
      </c>
      <c r="F18" s="24"/>
      <c r="G18" s="24">
        <v>6181149</v>
      </c>
      <c r="H18" s="24"/>
      <c r="I18" s="24">
        <v>77682164</v>
      </c>
      <c r="J18" s="24"/>
      <c r="K18" s="24">
        <v>41317071</v>
      </c>
      <c r="L18" s="24"/>
      <c r="M18" s="24">
        <v>0</v>
      </c>
      <c r="N18" s="24"/>
      <c r="O18" s="24">
        <v>7659749</v>
      </c>
      <c r="P18" s="24"/>
      <c r="Q18" s="24">
        <v>14479368</v>
      </c>
      <c r="R18" s="24"/>
      <c r="S18" s="24">
        <f>3620542+281924+4699508</f>
        <v>8601974</v>
      </c>
      <c r="T18" s="24"/>
      <c r="U18" s="24">
        <v>0</v>
      </c>
      <c r="V18" s="24"/>
      <c r="W18" s="24">
        <f>SUM(I18:U18)</f>
        <v>149740326</v>
      </c>
      <c r="X18" s="24"/>
      <c r="Y18" s="24">
        <f t="shared" si="1"/>
        <v>320849395</v>
      </c>
    </row>
    <row r="19" spans="1:25" ht="12.75">
      <c r="A19" s="23" t="s">
        <v>20</v>
      </c>
      <c r="B19" s="23"/>
      <c r="C19" s="24">
        <v>3358691</v>
      </c>
      <c r="D19" s="24"/>
      <c r="E19" s="24">
        <v>10488103</v>
      </c>
      <c r="F19" s="24"/>
      <c r="G19" s="24">
        <v>694643</v>
      </c>
      <c r="H19" s="24"/>
      <c r="I19" s="24">
        <f>1565843+2035188+622991+253053</f>
        <v>4477075</v>
      </c>
      <c r="J19" s="24"/>
      <c r="K19" s="24">
        <v>1803206</v>
      </c>
      <c r="L19" s="24"/>
      <c r="M19" s="24">
        <v>0</v>
      </c>
      <c r="N19" s="24"/>
      <c r="O19" s="24">
        <v>732927</v>
      </c>
      <c r="P19" s="24"/>
      <c r="Q19" s="24">
        <v>483135</v>
      </c>
      <c r="R19" s="24"/>
      <c r="S19" s="24">
        <v>1154307</v>
      </c>
      <c r="T19" s="24"/>
      <c r="U19" s="24">
        <v>0</v>
      </c>
      <c r="V19" s="24"/>
      <c r="W19" s="24">
        <f t="shared" si="0"/>
        <v>8650650</v>
      </c>
      <c r="X19" s="24"/>
      <c r="Y19" s="24">
        <f t="shared" si="1"/>
        <v>23192087</v>
      </c>
    </row>
    <row r="20" spans="1:25" ht="12.75" hidden="1">
      <c r="A20" s="23" t="s">
        <v>173</v>
      </c>
      <c r="B20" s="23"/>
      <c r="C20" s="24">
        <v>0</v>
      </c>
      <c r="D20" s="24"/>
      <c r="E20" s="24">
        <v>0</v>
      </c>
      <c r="F20" s="24"/>
      <c r="G20" s="24">
        <v>0</v>
      </c>
      <c r="H20" s="24"/>
      <c r="I20" s="24">
        <v>0</v>
      </c>
      <c r="J20" s="24"/>
      <c r="K20" s="24">
        <v>0</v>
      </c>
      <c r="L20" s="24"/>
      <c r="M20" s="24">
        <v>0</v>
      </c>
      <c r="N20" s="24"/>
      <c r="O20" s="24">
        <v>0</v>
      </c>
      <c r="P20" s="24"/>
      <c r="Q20" s="24">
        <v>0</v>
      </c>
      <c r="R20" s="24"/>
      <c r="S20" s="24">
        <v>0</v>
      </c>
      <c r="T20" s="24"/>
      <c r="U20" s="24">
        <v>0</v>
      </c>
      <c r="V20" s="24"/>
      <c r="W20" s="24">
        <f t="shared" si="0"/>
        <v>0</v>
      </c>
      <c r="X20" s="24"/>
      <c r="Y20" s="24">
        <f t="shared" si="1"/>
        <v>0</v>
      </c>
    </row>
    <row r="21" spans="1:25" ht="12.75">
      <c r="A21" s="23" t="s">
        <v>21</v>
      </c>
      <c r="B21" s="23"/>
      <c r="C21" s="24">
        <v>22595154</v>
      </c>
      <c r="D21" s="24"/>
      <c r="E21" s="24">
        <v>58105328</v>
      </c>
      <c r="F21" s="24"/>
      <c r="G21" s="24">
        <v>1025785</v>
      </c>
      <c r="H21" s="24"/>
      <c r="I21" s="24">
        <f>3671872+2664262+10513030+2035677</f>
        <v>18884841</v>
      </c>
      <c r="J21" s="24"/>
      <c r="K21" s="24">
        <v>13429821</v>
      </c>
      <c r="L21" s="24"/>
      <c r="M21" s="24">
        <v>0</v>
      </c>
      <c r="N21" s="24"/>
      <c r="O21" s="24">
        <v>4802904</v>
      </c>
      <c r="P21" s="24"/>
      <c r="Q21" s="24">
        <v>4160834</v>
      </c>
      <c r="R21" s="24"/>
      <c r="S21" s="24">
        <v>2138706</v>
      </c>
      <c r="T21" s="24"/>
      <c r="U21" s="24">
        <v>0</v>
      </c>
      <c r="V21" s="24"/>
      <c r="W21" s="24">
        <f t="shared" si="0"/>
        <v>43417106</v>
      </c>
      <c r="X21" s="24"/>
      <c r="Y21" s="24">
        <f t="shared" si="1"/>
        <v>125143373</v>
      </c>
    </row>
    <row r="22" spans="1:25" ht="12.75">
      <c r="A22" s="23" t="s">
        <v>181</v>
      </c>
      <c r="B22" s="23"/>
      <c r="C22" s="24">
        <v>24373591</v>
      </c>
      <c r="D22" s="24"/>
      <c r="E22" s="24">
        <v>33259444</v>
      </c>
      <c r="F22" s="24"/>
      <c r="G22" s="24">
        <v>6393781</v>
      </c>
      <c r="H22" s="24"/>
      <c r="I22" s="24">
        <f>8217960+8363875+3905963</f>
        <v>20487798</v>
      </c>
      <c r="J22" s="24"/>
      <c r="K22" s="24">
        <v>23547097</v>
      </c>
      <c r="L22" s="24"/>
      <c r="M22" s="24">
        <v>543694</v>
      </c>
      <c r="N22" s="24"/>
      <c r="O22" s="24">
        <v>6078852</v>
      </c>
      <c r="P22" s="24"/>
      <c r="Q22" s="24">
        <v>6795373</v>
      </c>
      <c r="R22" s="24"/>
      <c r="S22" s="24">
        <v>106652</v>
      </c>
      <c r="T22" s="24"/>
      <c r="U22" s="24">
        <v>0</v>
      </c>
      <c r="V22" s="24"/>
      <c r="W22" s="24">
        <f t="shared" si="0"/>
        <v>57559466</v>
      </c>
      <c r="X22" s="24"/>
      <c r="Y22" s="24">
        <f t="shared" si="1"/>
        <v>121586282</v>
      </c>
    </row>
    <row r="23" spans="1:25" ht="12.75">
      <c r="A23" s="23" t="s">
        <v>22</v>
      </c>
      <c r="B23" s="23"/>
      <c r="C23" s="24">
        <v>4092221</v>
      </c>
      <c r="D23" s="24"/>
      <c r="E23" s="24">
        <v>13010543</v>
      </c>
      <c r="F23" s="24"/>
      <c r="G23" s="24">
        <v>3150969</v>
      </c>
      <c r="H23" s="24"/>
      <c r="I23" s="24">
        <f>1961243+398052+78719+2098692+1272761+90765+185375+500724+2738</f>
        <v>6589069</v>
      </c>
      <c r="J23" s="24"/>
      <c r="K23" s="24">
        <v>7886266</v>
      </c>
      <c r="L23" s="24"/>
      <c r="M23" s="24">
        <v>0</v>
      </c>
      <c r="N23" s="24"/>
      <c r="O23" s="24">
        <v>1678968</v>
      </c>
      <c r="P23" s="24"/>
      <c r="Q23" s="24">
        <v>977428</v>
      </c>
      <c r="R23" s="24"/>
      <c r="S23" s="24">
        <v>2606291</v>
      </c>
      <c r="T23" s="24"/>
      <c r="U23" s="24">
        <v>0</v>
      </c>
      <c r="V23" s="24"/>
      <c r="W23" s="24">
        <f t="shared" si="0"/>
        <v>19738022</v>
      </c>
      <c r="X23" s="24"/>
      <c r="Y23" s="24">
        <f t="shared" si="1"/>
        <v>39991755</v>
      </c>
    </row>
    <row r="24" spans="1:25" ht="12.75" customHeight="1" hidden="1">
      <c r="A24" s="23" t="s">
        <v>23</v>
      </c>
      <c r="B24" s="23"/>
      <c r="C24" s="24"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0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v>0</v>
      </c>
      <c r="T24" s="24"/>
      <c r="U24" s="24">
        <v>0</v>
      </c>
      <c r="V24" s="24"/>
      <c r="W24" s="24">
        <f t="shared" si="0"/>
        <v>0</v>
      </c>
      <c r="X24" s="24"/>
      <c r="Y24" s="24">
        <f t="shared" si="1"/>
        <v>0</v>
      </c>
    </row>
    <row r="25" spans="1:25" ht="12.75">
      <c r="A25" s="23" t="s">
        <v>24</v>
      </c>
      <c r="B25" s="23"/>
      <c r="C25" s="24">
        <v>2562878</v>
      </c>
      <c r="D25" s="24"/>
      <c r="E25" s="24">
        <v>19190809</v>
      </c>
      <c r="F25" s="24"/>
      <c r="G25" s="24">
        <v>1208602</v>
      </c>
      <c r="H25" s="24"/>
      <c r="I25" s="24">
        <f>1439560+3580312+879520+179375</f>
        <v>6078767</v>
      </c>
      <c r="J25" s="24"/>
      <c r="K25" s="24">
        <v>4387300</v>
      </c>
      <c r="L25" s="24"/>
      <c r="M25" s="24">
        <v>0</v>
      </c>
      <c r="N25" s="24"/>
      <c r="O25" s="24">
        <v>1439210</v>
      </c>
      <c r="P25" s="24"/>
      <c r="Q25" s="24">
        <v>770253</v>
      </c>
      <c r="R25" s="24"/>
      <c r="S25" s="24">
        <v>850442</v>
      </c>
      <c r="T25" s="24"/>
      <c r="U25" s="24">
        <v>0</v>
      </c>
      <c r="V25" s="24"/>
      <c r="W25" s="24">
        <f t="shared" si="0"/>
        <v>13525972</v>
      </c>
      <c r="X25" s="24"/>
      <c r="Y25" s="24">
        <f t="shared" si="1"/>
        <v>36488261</v>
      </c>
    </row>
    <row r="26" spans="1:25" ht="12.75">
      <c r="A26" s="23" t="s">
        <v>243</v>
      </c>
      <c r="B26" s="23"/>
      <c r="C26" s="24">
        <v>8194829</v>
      </c>
      <c r="D26" s="24"/>
      <c r="E26" s="24">
        <v>14840329</v>
      </c>
      <c r="F26" s="24"/>
      <c r="G26" s="24">
        <v>0</v>
      </c>
      <c r="H26" s="24"/>
      <c r="I26" s="24">
        <f>1380564+384096+2023633+212584+576121+346906</f>
        <v>4923904</v>
      </c>
      <c r="J26" s="24"/>
      <c r="K26" s="24">
        <f>3321904+1376542+284168</f>
        <v>4982614</v>
      </c>
      <c r="L26" s="24"/>
      <c r="M26" s="24">
        <v>0</v>
      </c>
      <c r="N26" s="24"/>
      <c r="O26" s="24">
        <v>1526363</v>
      </c>
      <c r="P26" s="24"/>
      <c r="Q26" s="24">
        <v>993766</v>
      </c>
      <c r="R26" s="24"/>
      <c r="S26" s="24">
        <v>854250</v>
      </c>
      <c r="T26" s="24"/>
      <c r="U26" s="24">
        <v>0</v>
      </c>
      <c r="V26" s="24"/>
      <c r="W26" s="24">
        <f t="shared" si="0"/>
        <v>13280897</v>
      </c>
      <c r="X26" s="24"/>
      <c r="Y26" s="24">
        <f t="shared" si="1"/>
        <v>36316055</v>
      </c>
    </row>
    <row r="27" spans="1:25" ht="12.75">
      <c r="A27" s="23" t="s">
        <v>25</v>
      </c>
      <c r="B27" s="23"/>
      <c r="C27" s="24">
        <f>110217*1000</f>
        <v>110217000</v>
      </c>
      <c r="D27" s="24"/>
      <c r="E27" s="24">
        <f>652723*1000</f>
        <v>652723000</v>
      </c>
      <c r="F27" s="24"/>
      <c r="G27" s="24">
        <f>30382*1000</f>
        <v>30382000</v>
      </c>
      <c r="H27" s="24"/>
      <c r="I27" s="24">
        <f>361148*1000</f>
        <v>361148000</v>
      </c>
      <c r="J27" s="24"/>
      <c r="K27" s="24">
        <f>186288*1000</f>
        <v>186288000</v>
      </c>
      <c r="L27" s="24"/>
      <c r="M27" s="24">
        <f>28502*1000</f>
        <v>28502000</v>
      </c>
      <c r="N27" s="24"/>
      <c r="O27" s="24">
        <f>(36619+38633)*1000</f>
        <v>75252000</v>
      </c>
      <c r="P27" s="24"/>
      <c r="Q27" s="24">
        <f>48967*1000</f>
        <v>48967000</v>
      </c>
      <c r="R27" s="24"/>
      <c r="S27" s="24">
        <f>12211*1000</f>
        <v>12211000</v>
      </c>
      <c r="T27" s="24"/>
      <c r="U27" s="24">
        <f>-1299*1000</f>
        <v>-1299000</v>
      </c>
      <c r="V27" s="24"/>
      <c r="W27" s="24">
        <f t="shared" si="0"/>
        <v>711069000</v>
      </c>
      <c r="X27" s="24"/>
      <c r="Y27" s="24">
        <f t="shared" si="1"/>
        <v>1504391000</v>
      </c>
    </row>
    <row r="28" spans="1:25" ht="12.75">
      <c r="A28" s="23" t="s">
        <v>26</v>
      </c>
      <c r="B28" s="23"/>
      <c r="C28" s="24">
        <v>4919535</v>
      </c>
      <c r="D28" s="24"/>
      <c r="E28" s="24">
        <v>15271191</v>
      </c>
      <c r="F28" s="24"/>
      <c r="G28" s="24">
        <v>1067319</v>
      </c>
      <c r="H28" s="24"/>
      <c r="I28" s="24">
        <f>2496107+2646455</f>
        <v>5142562</v>
      </c>
      <c r="J28" s="24"/>
      <c r="K28" s="24">
        <v>7500135</v>
      </c>
      <c r="L28" s="24"/>
      <c r="M28" s="24">
        <v>0</v>
      </c>
      <c r="N28" s="24"/>
      <c r="O28" s="24">
        <v>1948658</v>
      </c>
      <c r="P28" s="24"/>
      <c r="Q28" s="24">
        <v>1145476</v>
      </c>
      <c r="R28" s="24"/>
      <c r="S28" s="24">
        <v>1267275</v>
      </c>
      <c r="T28" s="24"/>
      <c r="U28" s="24">
        <v>-10772</v>
      </c>
      <c r="V28" s="24"/>
      <c r="W28" s="24">
        <f t="shared" si="0"/>
        <v>16993334</v>
      </c>
      <c r="X28" s="24"/>
      <c r="Y28" s="24">
        <f t="shared" si="1"/>
        <v>38251379</v>
      </c>
    </row>
    <row r="29" spans="1:25" ht="12.75">
      <c r="A29" s="23" t="s">
        <v>27</v>
      </c>
      <c r="B29" s="23"/>
      <c r="C29" s="24">
        <v>3868285</v>
      </c>
      <c r="D29" s="24"/>
      <c r="E29" s="24">
        <v>12160096</v>
      </c>
      <c r="F29" s="24"/>
      <c r="G29" s="24">
        <v>371007</v>
      </c>
      <c r="H29" s="24"/>
      <c r="I29" s="24">
        <f>1770692+721521+1953735+693149</f>
        <v>5139097</v>
      </c>
      <c r="J29" s="24"/>
      <c r="K29" s="24">
        <v>4780726</v>
      </c>
      <c r="L29" s="24"/>
      <c r="M29" s="24">
        <v>0</v>
      </c>
      <c r="N29" s="24"/>
      <c r="O29" s="24">
        <v>2049407</v>
      </c>
      <c r="P29" s="24"/>
      <c r="Q29" s="24">
        <v>2647634</v>
      </c>
      <c r="R29" s="24"/>
      <c r="S29" s="24">
        <v>1884833</v>
      </c>
      <c r="T29" s="24"/>
      <c r="U29" s="24">
        <v>0</v>
      </c>
      <c r="V29" s="24"/>
      <c r="W29" s="24">
        <f aca="true" t="shared" si="2" ref="W29:W44">SUM(I29:U29)</f>
        <v>16501697</v>
      </c>
      <c r="X29" s="24"/>
      <c r="Y29" s="24">
        <f aca="true" t="shared" si="3" ref="Y29:Y93">SUM(B29:V29)</f>
        <v>32901085</v>
      </c>
    </row>
    <row r="30" spans="1:25" ht="12.75">
      <c r="A30" s="23" t="s">
        <v>28</v>
      </c>
      <c r="B30" s="23"/>
      <c r="C30" s="24">
        <v>21306307</v>
      </c>
      <c r="D30" s="24"/>
      <c r="E30" s="24">
        <v>23519514</v>
      </c>
      <c r="F30" s="24"/>
      <c r="G30" s="24">
        <v>5514540</v>
      </c>
      <c r="H30" s="24"/>
      <c r="I30" s="24">
        <f>6490192+2142377+11338734+807909+535741</f>
        <v>21314953</v>
      </c>
      <c r="J30" s="24"/>
      <c r="K30" s="24">
        <f>21782362+14522169</f>
        <v>36304531</v>
      </c>
      <c r="L30" s="24"/>
      <c r="M30" s="24">
        <v>0</v>
      </c>
      <c r="N30" s="24"/>
      <c r="O30" s="24">
        <v>3696875</v>
      </c>
      <c r="P30" s="24"/>
      <c r="Q30" s="24">
        <v>9655057</v>
      </c>
      <c r="R30" s="24"/>
      <c r="S30" s="24">
        <v>1446358</v>
      </c>
      <c r="T30" s="24"/>
      <c r="U30" s="24">
        <v>0</v>
      </c>
      <c r="V30" s="24"/>
      <c r="W30" s="24">
        <f t="shared" si="2"/>
        <v>72417774</v>
      </c>
      <c r="X30" s="24"/>
      <c r="Y30" s="24">
        <f t="shared" si="3"/>
        <v>122758135</v>
      </c>
    </row>
    <row r="31" spans="1:25" ht="12.75">
      <c r="A31" s="23" t="s">
        <v>29</v>
      </c>
      <c r="B31" s="23"/>
      <c r="C31" s="24">
        <v>10886698</v>
      </c>
      <c r="D31" s="24"/>
      <c r="E31" s="24">
        <v>22485797</v>
      </c>
      <c r="F31" s="24"/>
      <c r="G31" s="24">
        <v>0</v>
      </c>
      <c r="H31" s="24"/>
      <c r="I31" s="24">
        <f>5740976+5191649+967456</f>
        <v>11900081</v>
      </c>
      <c r="J31" s="24"/>
      <c r="K31" s="24">
        <v>13434723</v>
      </c>
      <c r="L31" s="24"/>
      <c r="M31" s="24">
        <v>0</v>
      </c>
      <c r="N31" s="24"/>
      <c r="O31" s="24">
        <v>2970341</v>
      </c>
      <c r="P31" s="24"/>
      <c r="Q31" s="24">
        <v>3453150</v>
      </c>
      <c r="R31" s="24"/>
      <c r="S31" s="24">
        <v>368472</v>
      </c>
      <c r="T31" s="24"/>
      <c r="U31" s="24">
        <v>-146164</v>
      </c>
      <c r="V31" s="24"/>
      <c r="W31" s="24">
        <f t="shared" si="2"/>
        <v>31980603</v>
      </c>
      <c r="X31" s="24"/>
      <c r="Y31" s="24">
        <f t="shared" si="3"/>
        <v>65353098</v>
      </c>
    </row>
    <row r="32" spans="1:27" ht="12.75">
      <c r="A32" s="23" t="s">
        <v>30</v>
      </c>
      <c r="B32" s="23"/>
      <c r="C32" s="24">
        <v>15817937</v>
      </c>
      <c r="D32" s="24"/>
      <c r="E32" s="24">
        <v>39521514</v>
      </c>
      <c r="F32" s="24"/>
      <c r="G32" s="24">
        <v>1872736</v>
      </c>
      <c r="H32" s="24"/>
      <c r="I32" s="24">
        <f>6975248+1219981+9533648+1219980</f>
        <v>18948857</v>
      </c>
      <c r="J32" s="24"/>
      <c r="K32" s="24">
        <v>11444458</v>
      </c>
      <c r="L32" s="24"/>
      <c r="M32" s="24">
        <f>1691770+163708</f>
        <v>1855478</v>
      </c>
      <c r="N32" s="24"/>
      <c r="O32" s="24">
        <v>3663927</v>
      </c>
      <c r="P32" s="24"/>
      <c r="Q32" s="24">
        <v>3772460</v>
      </c>
      <c r="R32" s="24"/>
      <c r="S32" s="24">
        <v>702437</v>
      </c>
      <c r="T32" s="24"/>
      <c r="U32" s="24">
        <v>0</v>
      </c>
      <c r="V32" s="24"/>
      <c r="W32" s="24">
        <f t="shared" si="2"/>
        <v>40387617</v>
      </c>
      <c r="X32" s="24"/>
      <c r="Y32" s="24">
        <f t="shared" si="3"/>
        <v>97599804</v>
      </c>
      <c r="AA32" s="39"/>
    </row>
    <row r="33" spans="1:25" ht="12.75" customHeight="1" hidden="1">
      <c r="A33" s="23" t="s">
        <v>239</v>
      </c>
      <c r="B33" s="23"/>
      <c r="C33" s="24">
        <v>0</v>
      </c>
      <c r="D33" s="24"/>
      <c r="E33" s="24">
        <v>0</v>
      </c>
      <c r="F33" s="24"/>
      <c r="G33" s="24">
        <v>0</v>
      </c>
      <c r="H33" s="24"/>
      <c r="I33" s="24">
        <v>0</v>
      </c>
      <c r="J33" s="24"/>
      <c r="K33" s="24"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v>0</v>
      </c>
      <c r="T33" s="24"/>
      <c r="U33" s="24">
        <v>0</v>
      </c>
      <c r="V33" s="24"/>
      <c r="W33" s="24">
        <f t="shared" si="2"/>
        <v>0</v>
      </c>
      <c r="X33" s="24"/>
      <c r="Y33" s="24">
        <f t="shared" si="3"/>
        <v>0</v>
      </c>
    </row>
    <row r="34" spans="1:25" ht="12.75">
      <c r="A34" s="23" t="s">
        <v>32</v>
      </c>
      <c r="B34" s="23"/>
      <c r="C34" s="24">
        <f>111509*1000</f>
        <v>111509000</v>
      </c>
      <c r="D34" s="24"/>
      <c r="E34" s="24">
        <f>393634*1000</f>
        <v>393634000</v>
      </c>
      <c r="F34" s="24"/>
      <c r="G34" s="24">
        <f>30532*1000</f>
        <v>30532000</v>
      </c>
      <c r="H34" s="24"/>
      <c r="I34" s="24">
        <f>374017*1000</f>
        <v>374017000</v>
      </c>
      <c r="J34" s="24"/>
      <c r="K34" s="24">
        <f>177398*1000</f>
        <v>177398000</v>
      </c>
      <c r="L34" s="24"/>
      <c r="M34" s="24">
        <v>0</v>
      </c>
      <c r="N34" s="24"/>
      <c r="O34" s="24">
        <f>84033*1000</f>
        <v>84033000</v>
      </c>
      <c r="P34" s="24"/>
      <c r="Q34" s="24">
        <f>54785*1000</f>
        <v>54785000</v>
      </c>
      <c r="R34" s="24"/>
      <c r="S34" s="24">
        <v>0</v>
      </c>
      <c r="T34" s="24"/>
      <c r="U34" s="24">
        <v>0</v>
      </c>
      <c r="V34" s="24"/>
      <c r="W34" s="24">
        <f t="shared" si="2"/>
        <v>690233000</v>
      </c>
      <c r="X34" s="24"/>
      <c r="Y34" s="24">
        <f>SUM(B34:V34)</f>
        <v>1225908000</v>
      </c>
    </row>
    <row r="35" spans="1:25" ht="12.75">
      <c r="A35" s="23" t="s">
        <v>33</v>
      </c>
      <c r="B35" s="23"/>
      <c r="C35" s="24">
        <v>5693239</v>
      </c>
      <c r="D35" s="24"/>
      <c r="E35" s="24">
        <v>12444773</v>
      </c>
      <c r="F35" s="24"/>
      <c r="G35" s="24">
        <v>652547</v>
      </c>
      <c r="H35" s="24"/>
      <c r="I35" s="24">
        <f>1678714+3063006+883801+1455399+335336+352434</f>
        <v>7768690</v>
      </c>
      <c r="J35" s="24"/>
      <c r="K35" s="24">
        <v>4524406</v>
      </c>
      <c r="L35" s="24"/>
      <c r="M35" s="24">
        <v>0</v>
      </c>
      <c r="N35" s="24"/>
      <c r="O35" s="24">
        <v>2675475</v>
      </c>
      <c r="P35" s="24"/>
      <c r="Q35" s="24">
        <v>1582860</v>
      </c>
      <c r="R35" s="24"/>
      <c r="S35" s="24">
        <v>956442</v>
      </c>
      <c r="T35" s="24"/>
      <c r="U35" s="24">
        <v>0</v>
      </c>
      <c r="V35" s="24"/>
      <c r="W35" s="24">
        <f t="shared" si="2"/>
        <v>17507873</v>
      </c>
      <c r="X35" s="24"/>
      <c r="Y35" s="24">
        <f>SUM(B35:V35)</f>
        <v>36298432</v>
      </c>
    </row>
    <row r="36" spans="1:25" ht="12.75">
      <c r="A36" s="23" t="s">
        <v>34</v>
      </c>
      <c r="B36" s="23"/>
      <c r="C36" s="24">
        <v>3081646</v>
      </c>
      <c r="D36" s="24"/>
      <c r="E36" s="24">
        <v>14991388</v>
      </c>
      <c r="F36" s="24"/>
      <c r="G36" s="24">
        <v>0</v>
      </c>
      <c r="H36" s="24"/>
      <c r="I36" s="24">
        <f>1942502+943634</f>
        <v>2886136</v>
      </c>
      <c r="J36" s="24"/>
      <c r="K36" s="24">
        <f>3260078+814840</f>
        <v>4074918</v>
      </c>
      <c r="L36" s="24"/>
      <c r="M36" s="24">
        <v>0</v>
      </c>
      <c r="N36" s="24"/>
      <c r="O36" s="24">
        <v>1133170</v>
      </c>
      <c r="P36" s="24"/>
      <c r="Q36" s="24">
        <v>437519</v>
      </c>
      <c r="R36" s="24"/>
      <c r="S36" s="24">
        <v>723850</v>
      </c>
      <c r="T36" s="24"/>
      <c r="U36" s="24">
        <v>0</v>
      </c>
      <c r="V36" s="24"/>
      <c r="W36" s="24">
        <f t="shared" si="2"/>
        <v>9255593</v>
      </c>
      <c r="X36" s="24"/>
      <c r="Y36" s="24">
        <f t="shared" si="3"/>
        <v>27328627</v>
      </c>
    </row>
    <row r="37" spans="1:25" ht="12.75">
      <c r="A37" s="23" t="s">
        <v>35</v>
      </c>
      <c r="B37" s="23"/>
      <c r="C37" s="24">
        <v>9157500</v>
      </c>
      <c r="D37" s="24"/>
      <c r="E37" s="24">
        <v>31294255</v>
      </c>
      <c r="F37" s="24"/>
      <c r="G37" s="24">
        <v>1077295</v>
      </c>
      <c r="H37" s="24"/>
      <c r="I37" s="24">
        <f>6872673+1748789+1746110+2529413+7970794+4342903</f>
        <v>25210682</v>
      </c>
      <c r="J37" s="24"/>
      <c r="K37" s="24">
        <v>11782850</v>
      </c>
      <c r="L37" s="24"/>
      <c r="M37" s="24">
        <v>0</v>
      </c>
      <c r="N37" s="24"/>
      <c r="O37" s="24">
        <v>1691551</v>
      </c>
      <c r="P37" s="24"/>
      <c r="Q37" s="24">
        <v>2276676</v>
      </c>
      <c r="R37" s="24"/>
      <c r="S37" s="24">
        <v>3129580</v>
      </c>
      <c r="T37" s="24"/>
      <c r="U37" s="24">
        <v>0</v>
      </c>
      <c r="V37" s="24"/>
      <c r="W37" s="24">
        <f t="shared" si="2"/>
        <v>44091339</v>
      </c>
      <c r="X37" s="24"/>
      <c r="Y37" s="24">
        <f t="shared" si="3"/>
        <v>85620389</v>
      </c>
    </row>
    <row r="38" spans="1:25" ht="12.75">
      <c r="A38" s="23" t="s">
        <v>182</v>
      </c>
      <c r="B38" s="23"/>
      <c r="C38" s="24">
        <v>19598115</v>
      </c>
      <c r="D38" s="24"/>
      <c r="E38" s="24">
        <v>38193105</v>
      </c>
      <c r="F38" s="24"/>
      <c r="G38" s="24">
        <v>122157</v>
      </c>
      <c r="H38" s="24"/>
      <c r="I38" s="24">
        <f>5821148+815213+3724976+2882471+10266939+2992041+3084539+1960987</f>
        <v>31548314</v>
      </c>
      <c r="J38" s="24"/>
      <c r="K38" s="24">
        <v>21106684</v>
      </c>
      <c r="L38" s="24"/>
      <c r="M38" s="24">
        <v>750925</v>
      </c>
      <c r="N38" s="24"/>
      <c r="O38" s="24">
        <v>4960619</v>
      </c>
      <c r="P38" s="24"/>
      <c r="Q38" s="24">
        <v>5593457</v>
      </c>
      <c r="R38" s="24"/>
      <c r="S38" s="24">
        <f>27874+2510580</f>
        <v>2538454</v>
      </c>
      <c r="T38" s="24"/>
      <c r="U38" s="24">
        <v>-523690</v>
      </c>
      <c r="V38" s="24"/>
      <c r="W38" s="24">
        <f t="shared" si="2"/>
        <v>65974763</v>
      </c>
      <c r="X38" s="24"/>
      <c r="Y38" s="24">
        <f t="shared" si="3"/>
        <v>123888140</v>
      </c>
    </row>
    <row r="39" spans="1:25" ht="12.75" customHeight="1" hidden="1">
      <c r="A39" s="23" t="s">
        <v>244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f t="shared" si="2"/>
        <v>0</v>
      </c>
      <c r="X39" s="24"/>
      <c r="Y39" s="24">
        <f t="shared" si="3"/>
        <v>0</v>
      </c>
    </row>
    <row r="40" spans="1:25" ht="12.75">
      <c r="A40" s="23" t="s">
        <v>37</v>
      </c>
      <c r="B40" s="23"/>
      <c r="C40" s="24">
        <v>184424000</v>
      </c>
      <c r="D40" s="24"/>
      <c r="E40" s="24">
        <v>390553000</v>
      </c>
      <c r="F40" s="24"/>
      <c r="G40" s="24">
        <v>4630000</v>
      </c>
      <c r="H40" s="24"/>
      <c r="I40" s="24">
        <v>271238000</v>
      </c>
      <c r="J40" s="24"/>
      <c r="K40" s="24">
        <v>64701000</v>
      </c>
      <c r="L40" s="24"/>
      <c r="M40" s="24">
        <v>0</v>
      </c>
      <c r="N40" s="24"/>
      <c r="O40" s="24">
        <f>14748000+32144000</f>
        <v>46892000</v>
      </c>
      <c r="P40" s="24"/>
      <c r="Q40" s="24">
        <v>19875000</v>
      </c>
      <c r="R40" s="24"/>
      <c r="S40" s="24">
        <f>2294000-1907000+278000</f>
        <v>665000</v>
      </c>
      <c r="T40" s="24"/>
      <c r="U40" s="24">
        <v>847000</v>
      </c>
      <c r="V40" s="24"/>
      <c r="W40" s="24">
        <f t="shared" si="2"/>
        <v>404218000</v>
      </c>
      <c r="X40" s="24"/>
      <c r="Y40" s="24">
        <f t="shared" si="3"/>
        <v>983825000</v>
      </c>
    </row>
    <row r="41" spans="1:25" ht="12.75">
      <c r="A41" s="23" t="s">
        <v>38</v>
      </c>
      <c r="B41" s="23"/>
      <c r="C41" s="24">
        <v>12650569</v>
      </c>
      <c r="D41" s="24"/>
      <c r="E41" s="24">
        <v>26008422</v>
      </c>
      <c r="F41" s="24"/>
      <c r="G41" s="24">
        <v>15018469</v>
      </c>
      <c r="H41" s="24"/>
      <c r="I41" s="24">
        <f>2124676+1341282+6023683+549270</f>
        <v>10038911</v>
      </c>
      <c r="J41" s="24"/>
      <c r="K41" s="24">
        <v>5619402</v>
      </c>
      <c r="L41" s="24"/>
      <c r="M41" s="24">
        <v>0</v>
      </c>
      <c r="N41" s="24"/>
      <c r="O41" s="24">
        <v>2820530</v>
      </c>
      <c r="P41" s="24"/>
      <c r="Q41" s="24">
        <v>1626851</v>
      </c>
      <c r="R41" s="24"/>
      <c r="S41" s="24">
        <v>1072061</v>
      </c>
      <c r="T41" s="24"/>
      <c r="U41" s="24">
        <v>-40000</v>
      </c>
      <c r="V41" s="24"/>
      <c r="W41" s="24">
        <f t="shared" si="2"/>
        <v>21137755</v>
      </c>
      <c r="X41" s="24"/>
      <c r="Y41" s="24">
        <f t="shared" si="3"/>
        <v>74815215</v>
      </c>
    </row>
    <row r="42" spans="1:25" ht="12.75" hidden="1">
      <c r="A42" s="23" t="s">
        <v>168</v>
      </c>
      <c r="B42" s="23"/>
      <c r="C42" s="24"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24"/>
      <c r="K42" s="24"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v>0</v>
      </c>
      <c r="T42" s="24"/>
      <c r="U42" s="24">
        <v>0</v>
      </c>
      <c r="V42" s="24"/>
      <c r="W42" s="24">
        <f t="shared" si="2"/>
        <v>0</v>
      </c>
      <c r="X42" s="24"/>
      <c r="Y42" s="24">
        <f t="shared" si="3"/>
        <v>0</v>
      </c>
    </row>
    <row r="43" spans="1:25" ht="12.75" hidden="1">
      <c r="A43" s="23" t="s">
        <v>39</v>
      </c>
      <c r="B43" s="23"/>
      <c r="C43" s="24">
        <v>0</v>
      </c>
      <c r="D43" s="24"/>
      <c r="E43" s="24">
        <v>0</v>
      </c>
      <c r="F43" s="24"/>
      <c r="G43" s="24">
        <v>0</v>
      </c>
      <c r="H43" s="24"/>
      <c r="I43" s="24">
        <v>0</v>
      </c>
      <c r="J43" s="24"/>
      <c r="K43" s="24">
        <v>0</v>
      </c>
      <c r="L43" s="24"/>
      <c r="M43" s="24">
        <v>0</v>
      </c>
      <c r="N43" s="24"/>
      <c r="O43" s="24">
        <v>0</v>
      </c>
      <c r="P43" s="24"/>
      <c r="Q43" s="24">
        <v>0</v>
      </c>
      <c r="R43" s="24"/>
      <c r="S43" s="24">
        <v>0</v>
      </c>
      <c r="T43" s="24"/>
      <c r="U43" s="24">
        <v>0</v>
      </c>
      <c r="V43" s="24"/>
      <c r="W43" s="24">
        <f t="shared" si="2"/>
        <v>0</v>
      </c>
      <c r="X43" s="24"/>
      <c r="Y43" s="24">
        <f t="shared" si="3"/>
        <v>0</v>
      </c>
    </row>
    <row r="44" spans="1:25" ht="12.75">
      <c r="A44" s="23" t="s">
        <v>40</v>
      </c>
      <c r="B44" s="23"/>
      <c r="C44" s="24">
        <v>2902730</v>
      </c>
      <c r="D44" s="24"/>
      <c r="E44" s="24">
        <v>11337980</v>
      </c>
      <c r="F44" s="24"/>
      <c r="G44" s="24">
        <v>382250</v>
      </c>
      <c r="H44" s="24"/>
      <c r="I44" s="24">
        <f>1915208+3609883+74697</f>
        <v>5599788</v>
      </c>
      <c r="J44" s="24"/>
      <c r="K44" s="24">
        <v>3355658</v>
      </c>
      <c r="L44" s="24"/>
      <c r="M44" s="24">
        <v>0</v>
      </c>
      <c r="N44" s="24"/>
      <c r="O44" s="24">
        <v>1256145</v>
      </c>
      <c r="P44" s="24"/>
      <c r="Q44" s="24">
        <v>710503</v>
      </c>
      <c r="R44" s="24"/>
      <c r="S44" s="24">
        <v>1093459</v>
      </c>
      <c r="T44" s="24"/>
      <c r="U44" s="24">
        <v>0</v>
      </c>
      <c r="V44" s="24"/>
      <c r="W44" s="24">
        <f t="shared" si="2"/>
        <v>12015553</v>
      </c>
      <c r="X44" s="24"/>
      <c r="Y44" s="24">
        <f t="shared" si="3"/>
        <v>26638513</v>
      </c>
    </row>
    <row r="45" spans="1:26" ht="12.75" hidden="1">
      <c r="A45" s="23" t="s">
        <v>41</v>
      </c>
      <c r="B45" s="23"/>
      <c r="C45" s="24">
        <v>0</v>
      </c>
      <c r="D45" s="24"/>
      <c r="E45" s="24">
        <v>0</v>
      </c>
      <c r="F45" s="24"/>
      <c r="G45" s="24">
        <v>0</v>
      </c>
      <c r="H45" s="24"/>
      <c r="I45" s="24">
        <v>0</v>
      </c>
      <c r="J45" s="24"/>
      <c r="K45" s="24">
        <v>0</v>
      </c>
      <c r="L45" s="24"/>
      <c r="M45" s="24">
        <v>0</v>
      </c>
      <c r="N45" s="24"/>
      <c r="O45" s="24">
        <v>0</v>
      </c>
      <c r="P45" s="24"/>
      <c r="Q45" s="24">
        <v>0</v>
      </c>
      <c r="R45" s="24"/>
      <c r="S45" s="24">
        <v>0</v>
      </c>
      <c r="T45" s="24"/>
      <c r="U45" s="24">
        <v>0</v>
      </c>
      <c r="V45" s="24"/>
      <c r="W45" s="24">
        <f aca="true" t="shared" si="4" ref="W45:W98">SUM(I45:U45)</f>
        <v>0</v>
      </c>
      <c r="X45" s="24"/>
      <c r="Y45" s="24">
        <f t="shared" si="3"/>
        <v>0</v>
      </c>
      <c r="Z45" s="39"/>
    </row>
    <row r="46" spans="1:25" ht="12.75">
      <c r="A46" s="23" t="s">
        <v>42</v>
      </c>
      <c r="B46" s="23"/>
      <c r="C46" s="24">
        <v>2785944</v>
      </c>
      <c r="D46" s="24"/>
      <c r="E46" s="24">
        <v>10497525</v>
      </c>
      <c r="F46" s="24"/>
      <c r="G46" s="24">
        <v>179862</v>
      </c>
      <c r="H46" s="24"/>
      <c r="I46" s="24">
        <f>1836166+3318759</f>
        <v>5154925</v>
      </c>
      <c r="J46" s="24"/>
      <c r="K46" s="24">
        <f>2297287+580656</f>
        <v>2877943</v>
      </c>
      <c r="L46" s="24"/>
      <c r="M46" s="24">
        <v>0</v>
      </c>
      <c r="N46" s="24"/>
      <c r="O46" s="24">
        <v>619178</v>
      </c>
      <c r="P46" s="24"/>
      <c r="Q46" s="24">
        <v>740658</v>
      </c>
      <c r="R46" s="24"/>
      <c r="S46" s="24">
        <v>612722</v>
      </c>
      <c r="T46" s="24"/>
      <c r="U46" s="24">
        <v>0</v>
      </c>
      <c r="V46" s="24"/>
      <c r="W46" s="24">
        <f t="shared" si="4"/>
        <v>10005426</v>
      </c>
      <c r="X46" s="24"/>
      <c r="Y46" s="24">
        <f t="shared" si="3"/>
        <v>23468757</v>
      </c>
    </row>
    <row r="47" spans="1:25" ht="12.75">
      <c r="A47" s="23" t="s">
        <v>43</v>
      </c>
      <c r="B47" s="23"/>
      <c r="C47" s="24">
        <v>6000290</v>
      </c>
      <c r="D47" s="24"/>
      <c r="E47" s="24">
        <v>12265055</v>
      </c>
      <c r="F47" s="24"/>
      <c r="G47" s="24">
        <v>23200</v>
      </c>
      <c r="H47" s="24"/>
      <c r="I47" s="24">
        <f>2208812+2931278+897243</f>
        <v>6037333</v>
      </c>
      <c r="J47" s="24"/>
      <c r="K47" s="24">
        <v>4494403</v>
      </c>
      <c r="L47" s="24"/>
      <c r="M47" s="24">
        <v>0</v>
      </c>
      <c r="N47" s="24"/>
      <c r="O47" s="24">
        <v>1230309</v>
      </c>
      <c r="P47" s="24"/>
      <c r="Q47" s="24">
        <v>630303</v>
      </c>
      <c r="R47" s="24"/>
      <c r="S47" s="24">
        <v>732989</v>
      </c>
      <c r="T47" s="24"/>
      <c r="U47" s="24">
        <v>0</v>
      </c>
      <c r="V47" s="24"/>
      <c r="W47" s="24">
        <f t="shared" si="4"/>
        <v>13125337</v>
      </c>
      <c r="X47" s="24"/>
      <c r="Y47" s="24">
        <f t="shared" si="3"/>
        <v>31413882</v>
      </c>
    </row>
    <row r="48" spans="1:25" ht="12.75">
      <c r="A48" s="23" t="s">
        <v>44</v>
      </c>
      <c r="B48" s="23"/>
      <c r="C48" s="24">
        <v>951093</v>
      </c>
      <c r="D48" s="24"/>
      <c r="E48" s="24">
        <v>0</v>
      </c>
      <c r="F48" s="24"/>
      <c r="G48" s="24">
        <v>0</v>
      </c>
      <c r="H48" s="24"/>
      <c r="I48" s="24">
        <v>0</v>
      </c>
      <c r="J48" s="24"/>
      <c r="K48" s="24">
        <v>14938549</v>
      </c>
      <c r="L48" s="24"/>
      <c r="M48" s="24">
        <v>0</v>
      </c>
      <c r="N48" s="24"/>
      <c r="O48" s="24">
        <v>24165706</v>
      </c>
      <c r="P48" s="24"/>
      <c r="Q48" s="24">
        <v>1062345</v>
      </c>
      <c r="R48" s="24"/>
      <c r="S48" s="24">
        <v>1678465</v>
      </c>
      <c r="T48" s="24"/>
      <c r="U48" s="24">
        <v>-160000</v>
      </c>
      <c r="V48" s="24"/>
      <c r="W48" s="24">
        <f t="shared" si="4"/>
        <v>41685065</v>
      </c>
      <c r="X48" s="24"/>
      <c r="Y48" s="24">
        <f t="shared" si="3"/>
        <v>42636158</v>
      </c>
    </row>
    <row r="49" spans="1:25" ht="12.75" hidden="1">
      <c r="A49" s="23" t="s">
        <v>241</v>
      </c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>
        <f t="shared" si="4"/>
        <v>0</v>
      </c>
      <c r="X49" s="24"/>
      <c r="Y49" s="24">
        <f t="shared" si="3"/>
        <v>0</v>
      </c>
    </row>
    <row r="50" spans="1:25" ht="12.75">
      <c r="A50" s="23" t="s">
        <v>46</v>
      </c>
      <c r="B50" s="23"/>
      <c r="C50" s="24">
        <v>7138626</v>
      </c>
      <c r="D50" s="24"/>
      <c r="E50" s="24">
        <v>35664301</v>
      </c>
      <c r="F50" s="24"/>
      <c r="G50" s="24">
        <v>1949606</v>
      </c>
      <c r="H50" s="24"/>
      <c r="I50" s="24">
        <f>1996065+295733+2536714+1108728+1233576+758760+990192+1189823</f>
        <v>10109591</v>
      </c>
      <c r="J50" s="24"/>
      <c r="K50" s="24">
        <f>4751827+2832993+1369469+1222832</f>
        <v>10177121</v>
      </c>
      <c r="L50" s="24"/>
      <c r="M50" s="24">
        <v>0</v>
      </c>
      <c r="N50" s="24"/>
      <c r="O50" s="24">
        <v>2676002</v>
      </c>
      <c r="P50" s="24"/>
      <c r="Q50" s="24">
        <v>1329289</v>
      </c>
      <c r="R50" s="24"/>
      <c r="S50" s="24">
        <v>1021171</v>
      </c>
      <c r="T50" s="24"/>
      <c r="U50" s="24">
        <v>0</v>
      </c>
      <c r="V50" s="24"/>
      <c r="W50" s="24">
        <f t="shared" si="4"/>
        <v>25313174</v>
      </c>
      <c r="X50" s="24"/>
      <c r="Y50" s="24">
        <f t="shared" si="3"/>
        <v>70065707</v>
      </c>
    </row>
    <row r="51" spans="1:25" ht="12.75">
      <c r="A51" s="23" t="s">
        <v>47</v>
      </c>
      <c r="B51" s="23"/>
      <c r="C51" s="24">
        <v>3157499</v>
      </c>
      <c r="D51" s="24"/>
      <c r="E51" s="24">
        <v>16638278</v>
      </c>
      <c r="F51" s="24"/>
      <c r="G51" s="24">
        <v>848177</v>
      </c>
      <c r="H51" s="24"/>
      <c r="I51" s="24">
        <f>3823813+4188238</f>
        <v>8012051</v>
      </c>
      <c r="J51" s="24"/>
      <c r="K51" s="24">
        <v>5404743</v>
      </c>
      <c r="L51" s="24"/>
      <c r="M51" s="24">
        <v>0</v>
      </c>
      <c r="N51" s="24"/>
      <c r="O51" s="24">
        <v>2357839</v>
      </c>
      <c r="P51" s="24"/>
      <c r="Q51" s="24">
        <v>1499020</v>
      </c>
      <c r="R51" s="24"/>
      <c r="S51" s="24">
        <v>1784125</v>
      </c>
      <c r="T51" s="24"/>
      <c r="U51" s="24">
        <v>7121</v>
      </c>
      <c r="V51" s="24"/>
      <c r="W51" s="24">
        <f t="shared" si="4"/>
        <v>19064899</v>
      </c>
      <c r="X51" s="24"/>
      <c r="Y51" s="24">
        <f t="shared" si="3"/>
        <v>39708853</v>
      </c>
    </row>
    <row r="52" spans="1:25" ht="12.75">
      <c r="A52" s="23" t="s">
        <v>48</v>
      </c>
      <c r="B52" s="23"/>
      <c r="C52" s="24">
        <v>20477800</v>
      </c>
      <c r="D52" s="24"/>
      <c r="E52" s="24">
        <v>62286275</v>
      </c>
      <c r="F52" s="24"/>
      <c r="G52" s="24">
        <v>7203928</v>
      </c>
      <c r="H52" s="24"/>
      <c r="I52" s="24">
        <f>13265005+20046094+7675497+3240907+1161353+1394069+1516817</f>
        <v>48299742</v>
      </c>
      <c r="J52" s="24"/>
      <c r="K52" s="24">
        <v>15847926</v>
      </c>
      <c r="L52" s="24"/>
      <c r="M52" s="24">
        <f>3465513+836285</f>
        <v>4301798</v>
      </c>
      <c r="N52" s="24"/>
      <c r="O52" s="24">
        <v>3589783</v>
      </c>
      <c r="P52" s="24"/>
      <c r="Q52" s="24">
        <v>9615631</v>
      </c>
      <c r="R52" s="24"/>
      <c r="S52" s="24">
        <v>8319419</v>
      </c>
      <c r="T52" s="24"/>
      <c r="U52" s="24">
        <v>50000</v>
      </c>
      <c r="V52" s="24"/>
      <c r="W52" s="24">
        <f t="shared" si="4"/>
        <v>90024299</v>
      </c>
      <c r="X52" s="24"/>
      <c r="Y52" s="24">
        <f t="shared" si="3"/>
        <v>179992302</v>
      </c>
    </row>
    <row r="53" spans="1:25" ht="12.75" hidden="1">
      <c r="A53" s="23" t="s">
        <v>170</v>
      </c>
      <c r="B53" s="23"/>
      <c r="C53" s="24">
        <v>0</v>
      </c>
      <c r="D53" s="24"/>
      <c r="E53" s="24">
        <v>0</v>
      </c>
      <c r="F53" s="24"/>
      <c r="G53" s="24">
        <v>0</v>
      </c>
      <c r="H53" s="24"/>
      <c r="I53" s="24">
        <v>0</v>
      </c>
      <c r="J53" s="24"/>
      <c r="K53" s="24">
        <v>0</v>
      </c>
      <c r="L53" s="24"/>
      <c r="M53" s="24">
        <v>0</v>
      </c>
      <c r="N53" s="24"/>
      <c r="O53" s="24">
        <v>0</v>
      </c>
      <c r="P53" s="24"/>
      <c r="Q53" s="24">
        <v>0</v>
      </c>
      <c r="R53" s="24"/>
      <c r="S53" s="24">
        <v>0</v>
      </c>
      <c r="T53" s="24"/>
      <c r="U53" s="24">
        <v>0</v>
      </c>
      <c r="V53" s="24"/>
      <c r="W53" s="24">
        <f t="shared" si="4"/>
        <v>0</v>
      </c>
      <c r="X53" s="24"/>
      <c r="Y53" s="24">
        <f t="shared" si="3"/>
        <v>0</v>
      </c>
    </row>
    <row r="54" spans="1:25" ht="12.75">
      <c r="A54" s="23" t="s">
        <v>49</v>
      </c>
      <c r="B54" s="23"/>
      <c r="C54" s="24">
        <v>10486461</v>
      </c>
      <c r="D54" s="24"/>
      <c r="E54" s="24">
        <v>32282685</v>
      </c>
      <c r="F54" s="24"/>
      <c r="G54" s="24">
        <v>1244226</v>
      </c>
      <c r="H54" s="24"/>
      <c r="I54" s="24">
        <f>7475672+14714077</f>
        <v>22189749</v>
      </c>
      <c r="J54" s="24"/>
      <c r="K54" s="24">
        <v>24751138</v>
      </c>
      <c r="L54" s="24"/>
      <c r="M54" s="24">
        <v>0</v>
      </c>
      <c r="N54" s="24"/>
      <c r="O54" s="24">
        <v>13453254</v>
      </c>
      <c r="P54" s="24"/>
      <c r="Q54" s="24">
        <v>4107176</v>
      </c>
      <c r="R54" s="24"/>
      <c r="S54" s="24">
        <v>2847738</v>
      </c>
      <c r="T54" s="24"/>
      <c r="U54" s="24">
        <v>40456</v>
      </c>
      <c r="V54" s="24"/>
      <c r="W54" s="24">
        <f t="shared" si="4"/>
        <v>67389511</v>
      </c>
      <c r="X54" s="24"/>
      <c r="Y54" s="24">
        <f t="shared" si="3"/>
        <v>111402883</v>
      </c>
    </row>
    <row r="55" spans="1:25" ht="12.75">
      <c r="A55" s="23" t="s">
        <v>50</v>
      </c>
      <c r="B55" s="23"/>
      <c r="C55" s="24">
        <v>4835320</v>
      </c>
      <c r="D55" s="24"/>
      <c r="E55" s="24">
        <v>13193812</v>
      </c>
      <c r="F55" s="24"/>
      <c r="G55" s="24">
        <v>220443</v>
      </c>
      <c r="H55" s="24"/>
      <c r="I55" s="24">
        <v>16738988</v>
      </c>
      <c r="J55" s="24"/>
      <c r="K55" s="24">
        <v>0</v>
      </c>
      <c r="L55" s="24"/>
      <c r="M55" s="24">
        <v>0</v>
      </c>
      <c r="N55" s="24"/>
      <c r="O55" s="24">
        <v>2819501</v>
      </c>
      <c r="P55" s="24"/>
      <c r="Q55" s="24">
        <v>1600702</v>
      </c>
      <c r="R55" s="24"/>
      <c r="S55" s="24">
        <f>333642+1588859+101269</f>
        <v>2023770</v>
      </c>
      <c r="T55" s="24"/>
      <c r="U55" s="24">
        <v>-9905661</v>
      </c>
      <c r="V55" s="24"/>
      <c r="W55" s="24">
        <f t="shared" si="4"/>
        <v>13277300</v>
      </c>
      <c r="X55" s="24"/>
      <c r="Y55" s="24">
        <f t="shared" si="3"/>
        <v>31526875</v>
      </c>
    </row>
    <row r="56" spans="1:25" ht="12.75">
      <c r="A56" s="23" t="s">
        <v>246</v>
      </c>
      <c r="B56" s="23"/>
      <c r="C56" s="24">
        <v>41162106</v>
      </c>
      <c r="D56" s="24"/>
      <c r="E56" s="24">
        <v>103135964</v>
      </c>
      <c r="F56" s="24"/>
      <c r="G56" s="24">
        <v>1877241</v>
      </c>
      <c r="H56" s="24"/>
      <c r="I56" s="24">
        <v>56265375</v>
      </c>
      <c r="J56" s="24"/>
      <c r="K56" s="24">
        <v>23760781</v>
      </c>
      <c r="L56" s="24"/>
      <c r="M56" s="24">
        <v>0</v>
      </c>
      <c r="N56" s="24"/>
      <c r="O56" s="24">
        <v>5559749</v>
      </c>
      <c r="P56" s="24"/>
      <c r="Q56" s="24">
        <v>9084327</v>
      </c>
      <c r="R56" s="24"/>
      <c r="S56" s="24">
        <v>634235</v>
      </c>
      <c r="T56" s="24"/>
      <c r="U56" s="24">
        <v>0</v>
      </c>
      <c r="V56" s="24"/>
      <c r="W56" s="24">
        <f t="shared" si="4"/>
        <v>95304467</v>
      </c>
      <c r="X56" s="24"/>
      <c r="Y56" s="24">
        <f t="shared" si="3"/>
        <v>241479778</v>
      </c>
    </row>
    <row r="57" spans="1:25" ht="12.75">
      <c r="A57" s="23" t="s">
        <v>188</v>
      </c>
      <c r="B57" s="23"/>
      <c r="C57" s="24">
        <v>35327346</v>
      </c>
      <c r="D57" s="24"/>
      <c r="E57" s="24">
        <v>184269256</v>
      </c>
      <c r="F57" s="24"/>
      <c r="G57" s="24">
        <v>795958</v>
      </c>
      <c r="H57" s="24"/>
      <c r="I57" s="24">
        <v>100634707</v>
      </c>
      <c r="J57" s="24"/>
      <c r="K57" s="24">
        <v>71417816</v>
      </c>
      <c r="L57" s="24"/>
      <c r="M57" s="24">
        <v>7579543</v>
      </c>
      <c r="N57" s="24"/>
      <c r="O57" s="24">
        <v>55371431</v>
      </c>
      <c r="P57" s="24"/>
      <c r="Q57" s="24">
        <v>14158359</v>
      </c>
      <c r="R57" s="24"/>
      <c r="S57" s="24">
        <v>67033585</v>
      </c>
      <c r="T57" s="24"/>
      <c r="U57" s="24">
        <v>0</v>
      </c>
      <c r="V57" s="24"/>
      <c r="W57" s="24">
        <f t="shared" si="4"/>
        <v>316195441</v>
      </c>
      <c r="X57" s="24"/>
      <c r="Y57" s="24">
        <f t="shared" si="3"/>
        <v>536588001</v>
      </c>
    </row>
    <row r="58" spans="1:25" ht="12.75" hidden="1">
      <c r="A58" s="23" t="s">
        <v>52</v>
      </c>
      <c r="B58" s="23"/>
      <c r="C58" s="24">
        <v>0</v>
      </c>
      <c r="D58" s="24"/>
      <c r="E58" s="24">
        <v>0</v>
      </c>
      <c r="F58" s="24"/>
      <c r="G58" s="24">
        <v>0</v>
      </c>
      <c r="H58" s="24"/>
      <c r="I58" s="24">
        <v>0</v>
      </c>
      <c r="J58" s="24"/>
      <c r="K58" s="24">
        <v>0</v>
      </c>
      <c r="L58" s="24"/>
      <c r="M58" s="24">
        <v>0</v>
      </c>
      <c r="N58" s="24"/>
      <c r="O58" s="24">
        <v>0</v>
      </c>
      <c r="P58" s="24"/>
      <c r="Q58" s="24">
        <v>0</v>
      </c>
      <c r="R58" s="24"/>
      <c r="S58" s="24">
        <v>0</v>
      </c>
      <c r="T58" s="24"/>
      <c r="U58" s="24">
        <v>0</v>
      </c>
      <c r="V58" s="24"/>
      <c r="W58" s="24">
        <f t="shared" si="4"/>
        <v>0</v>
      </c>
      <c r="X58" s="24"/>
      <c r="Y58" s="24">
        <f t="shared" si="3"/>
        <v>0</v>
      </c>
    </row>
    <row r="59" spans="1:25" ht="12.75">
      <c r="A59" s="23" t="s">
        <v>53</v>
      </c>
      <c r="B59" s="23"/>
      <c r="C59" s="24">
        <v>21990835</v>
      </c>
      <c r="D59" s="24"/>
      <c r="E59" s="24">
        <v>97975197</v>
      </c>
      <c r="F59" s="24"/>
      <c r="G59" s="24">
        <v>4352369</v>
      </c>
      <c r="H59" s="24"/>
      <c r="I59" s="24">
        <f>8209839+5609301+15415818+3881816</f>
        <v>33116774</v>
      </c>
      <c r="J59" s="24"/>
      <c r="K59" s="24">
        <v>28431266</v>
      </c>
      <c r="L59" s="24"/>
      <c r="M59" s="24">
        <v>0</v>
      </c>
      <c r="N59" s="24"/>
      <c r="O59" s="24">
        <v>7163761</v>
      </c>
      <c r="P59" s="24"/>
      <c r="Q59" s="24">
        <v>5624207</v>
      </c>
      <c r="R59" s="24"/>
      <c r="S59" s="24">
        <f>2376834+3088804</f>
        <v>5465638</v>
      </c>
      <c r="T59" s="24"/>
      <c r="U59" s="24">
        <v>184563</v>
      </c>
      <c r="V59" s="24"/>
      <c r="W59" s="24">
        <f t="shared" si="4"/>
        <v>79986209</v>
      </c>
      <c r="X59" s="24"/>
      <c r="Y59" s="24">
        <f t="shared" si="3"/>
        <v>204304610</v>
      </c>
    </row>
    <row r="60" spans="1:25" ht="12.75">
      <c r="A60" s="23" t="s">
        <v>54</v>
      </c>
      <c r="B60" s="23"/>
      <c r="C60" s="24">
        <v>5717585</v>
      </c>
      <c r="D60" s="24"/>
      <c r="E60" s="24">
        <v>22345531</v>
      </c>
      <c r="F60" s="24"/>
      <c r="G60" s="24">
        <v>1368720</v>
      </c>
      <c r="H60" s="24"/>
      <c r="I60" s="24">
        <f>2217466+918955+2898988+308547+1583189+760044</f>
        <v>8687189</v>
      </c>
      <c r="J60" s="24"/>
      <c r="K60" s="24">
        <v>7189172</v>
      </c>
      <c r="L60" s="24"/>
      <c r="M60" s="24">
        <v>0</v>
      </c>
      <c r="N60" s="24"/>
      <c r="O60" s="24">
        <v>1818914</v>
      </c>
      <c r="P60" s="24"/>
      <c r="Q60" s="24">
        <v>2035081</v>
      </c>
      <c r="R60" s="24"/>
      <c r="S60" s="24">
        <v>1321586</v>
      </c>
      <c r="T60" s="24"/>
      <c r="U60" s="24">
        <v>0</v>
      </c>
      <c r="V60" s="24"/>
      <c r="W60" s="24">
        <f t="shared" si="4"/>
        <v>21051942</v>
      </c>
      <c r="X60" s="24"/>
      <c r="Y60" s="24">
        <f t="shared" si="3"/>
        <v>50483778</v>
      </c>
    </row>
    <row r="61" spans="1:25" ht="12.75">
      <c r="A61" s="23" t="s">
        <v>55</v>
      </c>
      <c r="B61" s="23"/>
      <c r="C61" s="24">
        <v>15704804</v>
      </c>
      <c r="D61" s="24"/>
      <c r="E61" s="24">
        <v>38514472</v>
      </c>
      <c r="F61" s="24"/>
      <c r="G61" s="24">
        <v>1469782</v>
      </c>
      <c r="H61" s="24"/>
      <c r="I61" s="24">
        <f>10786094+1103531+11186442+741164+1420319</f>
        <v>25237550</v>
      </c>
      <c r="J61" s="24"/>
      <c r="K61" s="24">
        <v>9952476</v>
      </c>
      <c r="L61" s="24"/>
      <c r="M61" s="24">
        <v>823231</v>
      </c>
      <c r="N61" s="24"/>
      <c r="O61" s="24">
        <v>4615783</v>
      </c>
      <c r="P61" s="24"/>
      <c r="Q61" s="24">
        <v>5395844</v>
      </c>
      <c r="R61" s="24"/>
      <c r="S61" s="24">
        <v>5792143</v>
      </c>
      <c r="T61" s="24"/>
      <c r="U61" s="24">
        <v>0</v>
      </c>
      <c r="V61" s="24"/>
      <c r="W61" s="24">
        <f t="shared" si="4"/>
        <v>51817027</v>
      </c>
      <c r="X61" s="24"/>
      <c r="Y61" s="24">
        <f t="shared" si="3"/>
        <v>107506085</v>
      </c>
    </row>
    <row r="62" spans="1:25" ht="12.75" hidden="1">
      <c r="A62" s="23" t="s">
        <v>171</v>
      </c>
      <c r="B62" s="23"/>
      <c r="C62" s="24">
        <v>0</v>
      </c>
      <c r="D62" s="24"/>
      <c r="E62" s="24">
        <v>0</v>
      </c>
      <c r="F62" s="24"/>
      <c r="G62" s="24">
        <v>0</v>
      </c>
      <c r="H62" s="24"/>
      <c r="I62" s="24">
        <v>0</v>
      </c>
      <c r="J62" s="24"/>
      <c r="K62" s="24">
        <v>0</v>
      </c>
      <c r="L62" s="24"/>
      <c r="M62" s="24">
        <v>0</v>
      </c>
      <c r="N62" s="24"/>
      <c r="O62" s="24">
        <v>0</v>
      </c>
      <c r="P62" s="24"/>
      <c r="Q62" s="24">
        <v>0</v>
      </c>
      <c r="R62" s="24"/>
      <c r="S62" s="24">
        <v>0</v>
      </c>
      <c r="T62" s="24"/>
      <c r="U62" s="24">
        <v>0</v>
      </c>
      <c r="V62" s="24"/>
      <c r="W62" s="24">
        <f t="shared" si="4"/>
        <v>0</v>
      </c>
      <c r="X62" s="24"/>
      <c r="Y62" s="24">
        <f t="shared" si="3"/>
        <v>0</v>
      </c>
    </row>
    <row r="63" spans="1:25" ht="12.75" hidden="1">
      <c r="A63" s="23" t="s">
        <v>56</v>
      </c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>
        <f t="shared" si="4"/>
        <v>0</v>
      </c>
      <c r="X63" s="24"/>
      <c r="Y63" s="24">
        <f t="shared" si="3"/>
        <v>0</v>
      </c>
    </row>
    <row r="64" spans="1:25" ht="12.75">
      <c r="A64" s="23" t="s">
        <v>57</v>
      </c>
      <c r="B64" s="23"/>
      <c r="C64" s="24">
        <v>16084779</v>
      </c>
      <c r="D64" s="24"/>
      <c r="E64" s="24">
        <v>17640571</v>
      </c>
      <c r="F64" s="24"/>
      <c r="G64" s="24">
        <v>7051583</v>
      </c>
      <c r="H64" s="24"/>
      <c r="I64" s="24">
        <v>12041927</v>
      </c>
      <c r="J64" s="24"/>
      <c r="K64" s="24">
        <v>10799612</v>
      </c>
      <c r="L64" s="24"/>
      <c r="M64" s="24">
        <v>0</v>
      </c>
      <c r="N64" s="24"/>
      <c r="O64" s="24">
        <v>4549470</v>
      </c>
      <c r="P64" s="24"/>
      <c r="Q64" s="24">
        <v>3534795</v>
      </c>
      <c r="R64" s="24"/>
      <c r="S64" s="24">
        <v>899188</v>
      </c>
      <c r="T64" s="24"/>
      <c r="U64" s="24">
        <v>261000</v>
      </c>
      <c r="V64" s="24"/>
      <c r="W64" s="24">
        <f t="shared" si="4"/>
        <v>32085992</v>
      </c>
      <c r="X64" s="24"/>
      <c r="Y64" s="24">
        <f t="shared" si="3"/>
        <v>72862925</v>
      </c>
    </row>
    <row r="65" spans="1:25" ht="12.75">
      <c r="A65" s="23" t="s">
        <v>58</v>
      </c>
      <c r="B65" s="23"/>
      <c r="C65" s="24">
        <v>1808001</v>
      </c>
      <c r="D65" s="24"/>
      <c r="E65" s="24">
        <v>9392534</v>
      </c>
      <c r="F65" s="24"/>
      <c r="G65" s="24">
        <v>38020</v>
      </c>
      <c r="H65" s="24"/>
      <c r="I65" s="24">
        <f>721523+691980</f>
        <v>1413503</v>
      </c>
      <c r="J65" s="24"/>
      <c r="K65" s="24">
        <v>1358363</v>
      </c>
      <c r="L65" s="24"/>
      <c r="M65" s="24">
        <v>0</v>
      </c>
      <c r="N65" s="24"/>
      <c r="O65" s="24">
        <v>481235</v>
      </c>
      <c r="P65" s="24"/>
      <c r="Q65" s="24">
        <v>317383</v>
      </c>
      <c r="R65" s="24"/>
      <c r="S65" s="24">
        <f>8755+352716</f>
        <v>361471</v>
      </c>
      <c r="T65" s="24"/>
      <c r="U65" s="24">
        <v>0</v>
      </c>
      <c r="V65" s="24"/>
      <c r="W65" s="24">
        <f t="shared" si="4"/>
        <v>3931955</v>
      </c>
      <c r="X65" s="24"/>
      <c r="Y65" s="24">
        <f t="shared" si="3"/>
        <v>15170510</v>
      </c>
    </row>
    <row r="66" spans="1:25" ht="12.75">
      <c r="A66" s="23" t="s">
        <v>59</v>
      </c>
      <c r="B66" s="23"/>
      <c r="C66" s="24">
        <v>68304572</v>
      </c>
      <c r="D66" s="24"/>
      <c r="E66" s="24">
        <v>236442434</v>
      </c>
      <c r="F66" s="24"/>
      <c r="G66" s="24">
        <v>5420668</v>
      </c>
      <c r="H66" s="24"/>
      <c r="I66" s="24">
        <f>17971448+3512914+89064740</f>
        <v>110549102</v>
      </c>
      <c r="J66" s="24"/>
      <c r="K66" s="24">
        <v>64691720</v>
      </c>
      <c r="L66" s="24"/>
      <c r="M66" s="24">
        <f>2444347+2557115+4222684</f>
        <v>9224146</v>
      </c>
      <c r="N66" s="24"/>
      <c r="O66" s="24">
        <v>20671328</v>
      </c>
      <c r="P66" s="24"/>
      <c r="Q66" s="24">
        <v>30689097</v>
      </c>
      <c r="R66" s="24"/>
      <c r="S66" s="24">
        <f>159589+4901027</f>
        <v>5060616</v>
      </c>
      <c r="T66" s="24"/>
      <c r="U66" s="24">
        <v>-3288593</v>
      </c>
      <c r="V66" s="24"/>
      <c r="W66" s="24">
        <f t="shared" si="4"/>
        <v>237597416</v>
      </c>
      <c r="X66" s="24"/>
      <c r="Y66" s="24">
        <f t="shared" si="3"/>
        <v>547765090</v>
      </c>
    </row>
    <row r="67" spans="1:25" ht="12.75" hidden="1">
      <c r="A67" s="23" t="s">
        <v>60</v>
      </c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>
        <f t="shared" si="4"/>
        <v>0</v>
      </c>
      <c r="X67" s="24"/>
      <c r="Y67" s="24">
        <f t="shared" si="3"/>
        <v>0</v>
      </c>
    </row>
    <row r="68" spans="1:25" ht="12.75">
      <c r="A68" s="23" t="s">
        <v>97</v>
      </c>
      <c r="B68" s="23"/>
      <c r="C68" s="24">
        <v>3862551</v>
      </c>
      <c r="D68" s="24"/>
      <c r="E68" s="24">
        <v>14689665</v>
      </c>
      <c r="F68" s="24"/>
      <c r="G68" s="24">
        <v>0</v>
      </c>
      <c r="H68" s="24"/>
      <c r="I68" s="24">
        <f>2357030+2055948</f>
        <v>4412978</v>
      </c>
      <c r="J68" s="24"/>
      <c r="K68" s="24">
        <v>2888689</v>
      </c>
      <c r="L68" s="24"/>
      <c r="M68" s="24">
        <v>0</v>
      </c>
      <c r="N68" s="24"/>
      <c r="O68" s="24">
        <v>746233</v>
      </c>
      <c r="P68" s="24"/>
      <c r="Q68" s="24">
        <v>798827</v>
      </c>
      <c r="R68" s="24"/>
      <c r="S68" s="24">
        <v>552033</v>
      </c>
      <c r="T68" s="24"/>
      <c r="U68" s="24">
        <v>13852</v>
      </c>
      <c r="V68" s="24"/>
      <c r="W68" s="24">
        <f t="shared" si="4"/>
        <v>9412612</v>
      </c>
      <c r="X68" s="24"/>
      <c r="Y68" s="24">
        <f t="shared" si="3"/>
        <v>27964828</v>
      </c>
    </row>
    <row r="69" spans="1:25" ht="12.75">
      <c r="A69" s="23" t="s">
        <v>61</v>
      </c>
      <c r="B69" s="23"/>
      <c r="C69" s="24">
        <v>12568384</v>
      </c>
      <c r="D69" s="24"/>
      <c r="E69" s="24">
        <v>33914486</v>
      </c>
      <c r="F69" s="24"/>
      <c r="G69" s="24">
        <v>1235066</v>
      </c>
      <c r="H69" s="24"/>
      <c r="I69" s="24">
        <f>2968705+392732+494550+976748+589804+3090911+3493303+2473906</f>
        <v>14480659</v>
      </c>
      <c r="J69" s="24"/>
      <c r="K69" s="24">
        <v>14691023</v>
      </c>
      <c r="L69" s="24"/>
      <c r="M69" s="24">
        <v>0</v>
      </c>
      <c r="N69" s="24"/>
      <c r="O69" s="24">
        <v>1969306</v>
      </c>
      <c r="P69" s="24"/>
      <c r="Q69" s="24">
        <v>3524198</v>
      </c>
      <c r="R69" s="24"/>
      <c r="S69" s="24">
        <f>270415+85975+474622</f>
        <v>831012</v>
      </c>
      <c r="T69" s="24"/>
      <c r="U69" s="24">
        <v>0</v>
      </c>
      <c r="V69" s="24"/>
      <c r="W69" s="24">
        <f t="shared" si="4"/>
        <v>35496198</v>
      </c>
      <c r="X69" s="24"/>
      <c r="Y69" s="24">
        <f t="shared" si="3"/>
        <v>83214134</v>
      </c>
    </row>
    <row r="70" spans="1:25" ht="12.75">
      <c r="A70" s="23" t="s">
        <v>62</v>
      </c>
      <c r="B70" s="23"/>
      <c r="C70" s="24">
        <v>1529559</v>
      </c>
      <c r="D70" s="24"/>
      <c r="E70" s="24">
        <v>7048844</v>
      </c>
      <c r="F70" s="24"/>
      <c r="G70" s="24">
        <v>200041</v>
      </c>
      <c r="H70" s="24"/>
      <c r="I70" s="24">
        <f>754427+48371+565874+309175+167322</f>
        <v>1845169</v>
      </c>
      <c r="J70" s="24"/>
      <c r="K70" s="24">
        <v>1056970</v>
      </c>
      <c r="L70" s="24"/>
      <c r="M70" s="24">
        <v>0</v>
      </c>
      <c r="N70" s="24"/>
      <c r="O70" s="24">
        <v>363619</v>
      </c>
      <c r="P70" s="24"/>
      <c r="Q70" s="24">
        <v>257190</v>
      </c>
      <c r="R70" s="24"/>
      <c r="S70" s="24">
        <v>394872</v>
      </c>
      <c r="T70" s="24"/>
      <c r="U70" s="24">
        <v>0</v>
      </c>
      <c r="V70" s="24"/>
      <c r="W70" s="24">
        <f t="shared" si="4"/>
        <v>3917820</v>
      </c>
      <c r="X70" s="24"/>
      <c r="Y70" s="24">
        <f t="shared" si="3"/>
        <v>12696264</v>
      </c>
    </row>
    <row r="71" spans="1:25" ht="12.75">
      <c r="A71" s="23" t="s">
        <v>63</v>
      </c>
      <c r="B71" s="23"/>
      <c r="C71" s="24">
        <v>8140175</v>
      </c>
      <c r="D71" s="24"/>
      <c r="E71" s="24">
        <v>12841527</v>
      </c>
      <c r="F71" s="24"/>
      <c r="G71" s="24">
        <v>417056</v>
      </c>
      <c r="H71" s="24"/>
      <c r="I71" s="24">
        <f>3324216+4559841+422044+274011</f>
        <v>8580112</v>
      </c>
      <c r="J71" s="24"/>
      <c r="K71" s="24">
        <v>4830607</v>
      </c>
      <c r="L71" s="24"/>
      <c r="M71" s="24">
        <v>454140</v>
      </c>
      <c r="N71" s="24"/>
      <c r="O71" s="24">
        <v>1414688</v>
      </c>
      <c r="P71" s="24"/>
      <c r="Q71" s="24">
        <v>2582946</v>
      </c>
      <c r="R71" s="24"/>
      <c r="S71" s="24">
        <v>1046593</v>
      </c>
      <c r="T71" s="24"/>
      <c r="U71" s="24">
        <v>0</v>
      </c>
      <c r="V71" s="24"/>
      <c r="W71" s="24">
        <f t="shared" si="4"/>
        <v>18909086</v>
      </c>
      <c r="X71" s="24"/>
      <c r="Y71" s="24">
        <f t="shared" si="3"/>
        <v>40307844</v>
      </c>
    </row>
    <row r="72" spans="1:25" ht="12.75" hidden="1">
      <c r="A72" s="23" t="s">
        <v>132</v>
      </c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>
        <f t="shared" si="4"/>
        <v>0</v>
      </c>
      <c r="X72" s="24"/>
      <c r="Y72" s="24">
        <f t="shared" si="3"/>
        <v>0</v>
      </c>
    </row>
    <row r="73" spans="1:25" ht="12.75" hidden="1">
      <c r="A73" s="23" t="s">
        <v>64</v>
      </c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>
        <f t="shared" si="4"/>
        <v>0</v>
      </c>
      <c r="X73" s="24"/>
      <c r="Y73" s="24">
        <f t="shared" si="3"/>
        <v>0</v>
      </c>
    </row>
    <row r="74" spans="1:25" ht="12.75">
      <c r="A74" s="23" t="s">
        <v>65</v>
      </c>
      <c r="B74" s="23"/>
      <c r="C74" s="24">
        <v>3726702</v>
      </c>
      <c r="D74" s="24"/>
      <c r="E74" s="24">
        <v>16917672</v>
      </c>
      <c r="F74" s="24"/>
      <c r="G74" s="24">
        <v>0</v>
      </c>
      <c r="H74" s="24"/>
      <c r="I74" s="24">
        <f>2676730+3599989+307066</f>
        <v>6583785</v>
      </c>
      <c r="J74" s="24"/>
      <c r="K74" s="24">
        <v>5895379</v>
      </c>
      <c r="L74" s="24"/>
      <c r="M74" s="24">
        <v>0</v>
      </c>
      <c r="N74" s="24"/>
      <c r="O74" s="24">
        <v>891812</v>
      </c>
      <c r="P74" s="24"/>
      <c r="Q74" s="24">
        <v>908894</v>
      </c>
      <c r="R74" s="24"/>
      <c r="S74" s="24">
        <v>2189216</v>
      </c>
      <c r="T74" s="24"/>
      <c r="U74" s="24">
        <v>0</v>
      </c>
      <c r="V74" s="24"/>
      <c r="W74" s="24">
        <f t="shared" si="4"/>
        <v>16469086</v>
      </c>
      <c r="X74" s="24"/>
      <c r="Y74" s="24">
        <f t="shared" si="3"/>
        <v>37113460</v>
      </c>
    </row>
    <row r="75" spans="1:25" ht="12.75">
      <c r="A75" s="23" t="s">
        <v>66</v>
      </c>
      <c r="B75" s="23"/>
      <c r="C75" s="24">
        <v>2550600</v>
      </c>
      <c r="D75" s="24"/>
      <c r="E75" s="24">
        <v>12004469</v>
      </c>
      <c r="F75" s="24"/>
      <c r="G75" s="24">
        <v>1401728</v>
      </c>
      <c r="H75" s="24"/>
      <c r="I75" s="24">
        <f>3454990+383986+1189324+570712</f>
        <v>5599012</v>
      </c>
      <c r="J75" s="24"/>
      <c r="K75" s="24">
        <v>2063157</v>
      </c>
      <c r="L75" s="24"/>
      <c r="M75" s="24">
        <v>0</v>
      </c>
      <c r="N75" s="24"/>
      <c r="O75" s="24">
        <v>586724</v>
      </c>
      <c r="P75" s="24"/>
      <c r="Q75" s="24">
        <v>832782</v>
      </c>
      <c r="R75" s="24"/>
      <c r="S75" s="24">
        <v>2473487</v>
      </c>
      <c r="T75" s="24"/>
      <c r="U75" s="24">
        <v>0</v>
      </c>
      <c r="V75" s="24"/>
      <c r="W75" s="24">
        <f t="shared" si="4"/>
        <v>11555162</v>
      </c>
      <c r="X75" s="24"/>
      <c r="Y75" s="24">
        <f t="shared" si="3"/>
        <v>27511959</v>
      </c>
    </row>
    <row r="76" spans="1:25" ht="12.75">
      <c r="A76" s="23" t="s">
        <v>67</v>
      </c>
      <c r="B76" s="23"/>
      <c r="C76" s="24">
        <v>18190917</v>
      </c>
      <c r="D76" s="24"/>
      <c r="E76" s="24">
        <v>41813477</v>
      </c>
      <c r="F76" s="24"/>
      <c r="G76" s="24">
        <v>1300747</v>
      </c>
      <c r="H76" s="24"/>
      <c r="I76" s="24">
        <f>4874408+3684255+13782990+2528936+1425811</f>
        <v>26296400</v>
      </c>
      <c r="J76" s="24"/>
      <c r="K76" s="24">
        <v>14884819</v>
      </c>
      <c r="L76" s="24"/>
      <c r="M76" s="24">
        <v>0</v>
      </c>
      <c r="N76" s="24"/>
      <c r="O76" s="24">
        <v>19024701</v>
      </c>
      <c r="P76" s="24"/>
      <c r="Q76" s="24">
        <v>7196776</v>
      </c>
      <c r="R76" s="24"/>
      <c r="S76" s="24">
        <v>378745</v>
      </c>
      <c r="T76" s="24"/>
      <c r="U76" s="24">
        <v>0</v>
      </c>
      <c r="V76" s="24"/>
      <c r="W76" s="24">
        <f t="shared" si="4"/>
        <v>67781441</v>
      </c>
      <c r="X76" s="24"/>
      <c r="Y76" s="24">
        <f t="shared" si="3"/>
        <v>129086582</v>
      </c>
    </row>
    <row r="77" spans="1:25" ht="12.75">
      <c r="A77" s="23" t="s">
        <v>68</v>
      </c>
      <c r="B77" s="23"/>
      <c r="C77" s="24">
        <v>3909637</v>
      </c>
      <c r="D77" s="24"/>
      <c r="E77" s="24">
        <v>15039530</v>
      </c>
      <c r="F77" s="24"/>
      <c r="G77" s="24">
        <v>1065</v>
      </c>
      <c r="H77" s="24"/>
      <c r="I77" s="24">
        <f>2053656+265960+366697+1054737+246175</f>
        <v>3987225</v>
      </c>
      <c r="J77" s="24"/>
      <c r="K77" s="24">
        <v>4383637</v>
      </c>
      <c r="L77" s="24"/>
      <c r="M77" s="24">
        <v>0</v>
      </c>
      <c r="N77" s="24"/>
      <c r="O77" s="24">
        <v>1061662</v>
      </c>
      <c r="P77" s="24"/>
      <c r="Q77" s="24">
        <v>769177</v>
      </c>
      <c r="R77" s="24"/>
      <c r="S77" s="24">
        <v>700671</v>
      </c>
      <c r="T77" s="24"/>
      <c r="U77" s="24">
        <v>0</v>
      </c>
      <c r="V77" s="24"/>
      <c r="W77" s="24">
        <f t="shared" si="4"/>
        <v>10902372</v>
      </c>
      <c r="X77" s="24"/>
      <c r="Y77" s="24">
        <f t="shared" si="3"/>
        <v>29852604</v>
      </c>
    </row>
    <row r="78" spans="1:25" ht="12.75" hidden="1">
      <c r="A78" s="23" t="s">
        <v>176</v>
      </c>
      <c r="B78" s="23"/>
      <c r="C78" s="24"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v>0</v>
      </c>
      <c r="T78" s="24"/>
      <c r="U78" s="24">
        <v>0</v>
      </c>
      <c r="V78" s="24"/>
      <c r="W78" s="24">
        <f t="shared" si="4"/>
        <v>0</v>
      </c>
      <c r="X78" s="24"/>
      <c r="Y78" s="24">
        <f t="shared" si="3"/>
        <v>0</v>
      </c>
    </row>
    <row r="79" spans="1:25" ht="12.75">
      <c r="A79" s="23" t="s">
        <v>178</v>
      </c>
      <c r="B79" s="23"/>
      <c r="C79" s="24">
        <v>11580716</v>
      </c>
      <c r="D79" s="24"/>
      <c r="E79" s="24">
        <v>49283941</v>
      </c>
      <c r="F79" s="24"/>
      <c r="G79" s="24">
        <v>2074036</v>
      </c>
      <c r="H79" s="24"/>
      <c r="I79" s="24">
        <f>4576125+1673800+8961597+3080593+796604</f>
        <v>19088719</v>
      </c>
      <c r="J79" s="24"/>
      <c r="K79" s="24">
        <v>14645715</v>
      </c>
      <c r="L79" s="24"/>
      <c r="M79" s="24">
        <v>0</v>
      </c>
      <c r="N79" s="24"/>
      <c r="O79" s="24">
        <v>5313582</v>
      </c>
      <c r="P79" s="24"/>
      <c r="Q79" s="24">
        <v>3631802</v>
      </c>
      <c r="R79" s="24"/>
      <c r="S79" s="24">
        <v>1275563</v>
      </c>
      <c r="T79" s="24"/>
      <c r="U79" s="24">
        <v>0</v>
      </c>
      <c r="V79" s="24"/>
      <c r="W79" s="24">
        <f t="shared" si="4"/>
        <v>43955381</v>
      </c>
      <c r="X79" s="24"/>
      <c r="Y79" s="24">
        <f t="shared" si="3"/>
        <v>106894074</v>
      </c>
    </row>
    <row r="80" spans="1:25" ht="12.75">
      <c r="A80" s="23" t="s">
        <v>69</v>
      </c>
      <c r="B80" s="23"/>
      <c r="C80" s="24">
        <v>7455382</v>
      </c>
      <c r="D80" s="24"/>
      <c r="E80" s="24">
        <v>25305168</v>
      </c>
      <c r="F80" s="24"/>
      <c r="G80" s="24">
        <v>1098434</v>
      </c>
      <c r="H80" s="24"/>
      <c r="I80" s="24">
        <f>6042658+1981740</f>
        <v>8024398</v>
      </c>
      <c r="J80" s="24"/>
      <c r="K80" s="24">
        <v>11221082</v>
      </c>
      <c r="L80" s="24"/>
      <c r="M80" s="24">
        <v>0</v>
      </c>
      <c r="N80" s="24"/>
      <c r="O80" s="24">
        <v>1934303</v>
      </c>
      <c r="P80" s="24"/>
      <c r="Q80" s="24">
        <v>838378</v>
      </c>
      <c r="R80" s="24"/>
      <c r="S80" s="24">
        <v>1046373</v>
      </c>
      <c r="T80" s="24"/>
      <c r="U80" s="24">
        <v>0</v>
      </c>
      <c r="V80" s="24"/>
      <c r="W80" s="24">
        <f t="shared" si="4"/>
        <v>23064534</v>
      </c>
      <c r="X80" s="24"/>
      <c r="Y80" s="24">
        <f t="shared" si="3"/>
        <v>56923518</v>
      </c>
    </row>
    <row r="82" ht="12.75">
      <c r="Y82" s="30" t="s">
        <v>253</v>
      </c>
    </row>
    <row r="83" spans="1:25" ht="12.75">
      <c r="A83" s="23" t="s">
        <v>98</v>
      </c>
      <c r="B83" s="23"/>
      <c r="C83" s="44">
        <v>7293421</v>
      </c>
      <c r="D83" s="44"/>
      <c r="E83" s="44">
        <v>22486711</v>
      </c>
      <c r="F83" s="44"/>
      <c r="G83" s="44">
        <v>609422</v>
      </c>
      <c r="H83" s="44"/>
      <c r="I83" s="44">
        <f>3291013+5036233+505179+301387</f>
        <v>9133812</v>
      </c>
      <c r="J83" s="44"/>
      <c r="K83" s="44">
        <f>6099253+1515868</f>
        <v>7615121</v>
      </c>
      <c r="L83" s="44"/>
      <c r="M83" s="44">
        <v>0</v>
      </c>
      <c r="N83" s="44"/>
      <c r="O83" s="44">
        <v>2356598</v>
      </c>
      <c r="P83" s="44"/>
      <c r="Q83" s="44">
        <v>1674178</v>
      </c>
      <c r="R83" s="44"/>
      <c r="S83" s="44">
        <v>2066226</v>
      </c>
      <c r="T83" s="44"/>
      <c r="U83" s="44">
        <v>0</v>
      </c>
      <c r="V83" s="44"/>
      <c r="W83" s="44">
        <f>SUM(I83:U83)</f>
        <v>22845935</v>
      </c>
      <c r="X83" s="44"/>
      <c r="Y83" s="44">
        <f>SUM(B83:V83)</f>
        <v>53235489</v>
      </c>
    </row>
    <row r="84" spans="1:25" ht="12.75">
      <c r="A84" s="23" t="s">
        <v>70</v>
      </c>
      <c r="B84" s="23"/>
      <c r="C84" s="24">
        <v>6877629</v>
      </c>
      <c r="D84" s="24"/>
      <c r="E84" s="24">
        <v>27274743</v>
      </c>
      <c r="F84" s="24"/>
      <c r="G84" s="24">
        <v>3464362</v>
      </c>
      <c r="H84" s="24"/>
      <c r="I84" s="24">
        <f>1592132+3697100+780111+112627</f>
        <v>6181970</v>
      </c>
      <c r="J84" s="24"/>
      <c r="K84" s="24">
        <v>9177699</v>
      </c>
      <c r="L84" s="24"/>
      <c r="M84" s="24">
        <v>347232</v>
      </c>
      <c r="N84" s="24"/>
      <c r="O84" s="24">
        <v>1440771</v>
      </c>
      <c r="P84" s="24"/>
      <c r="Q84" s="24">
        <v>958789</v>
      </c>
      <c r="R84" s="24"/>
      <c r="S84" s="24">
        <f>44746+734028</f>
        <v>778774</v>
      </c>
      <c r="T84" s="24"/>
      <c r="U84" s="24">
        <v>-20431</v>
      </c>
      <c r="V84" s="24"/>
      <c r="W84" s="24">
        <f>SUM(I84:U84)</f>
        <v>18864804</v>
      </c>
      <c r="X84" s="24"/>
      <c r="Y84" s="24">
        <f>SUM(B84:V84)</f>
        <v>56481538</v>
      </c>
    </row>
    <row r="85" spans="1:25" ht="12.75">
      <c r="A85" s="23" t="s">
        <v>71</v>
      </c>
      <c r="B85" s="23"/>
      <c r="C85" s="24">
        <v>4449063</v>
      </c>
      <c r="D85" s="24"/>
      <c r="E85" s="24">
        <v>18269114</v>
      </c>
      <c r="F85" s="24"/>
      <c r="G85" s="24">
        <v>2025404</v>
      </c>
      <c r="H85" s="24"/>
      <c r="I85" s="24">
        <v>6833091</v>
      </c>
      <c r="J85" s="24"/>
      <c r="K85" s="24">
        <v>6830418</v>
      </c>
      <c r="L85" s="24"/>
      <c r="M85" s="24">
        <v>0</v>
      </c>
      <c r="N85" s="24"/>
      <c r="O85" s="24">
        <v>1349847</v>
      </c>
      <c r="P85" s="24"/>
      <c r="Q85" s="24">
        <v>1395498</v>
      </c>
      <c r="R85" s="24"/>
      <c r="S85" s="24">
        <f>22434+1319876</f>
        <v>1342310</v>
      </c>
      <c r="T85" s="24"/>
      <c r="U85" s="24">
        <v>25124</v>
      </c>
      <c r="V85" s="24"/>
      <c r="W85" s="24">
        <f>SUM(I85:U85)</f>
        <v>17776288</v>
      </c>
      <c r="X85" s="24"/>
      <c r="Y85" s="24">
        <f>SUM(B85:V85)</f>
        <v>42519869</v>
      </c>
    </row>
    <row r="86" spans="1:25" ht="12.75">
      <c r="A86" s="23" t="s">
        <v>72</v>
      </c>
      <c r="B86" s="23"/>
      <c r="C86" s="44">
        <v>6347501</v>
      </c>
      <c r="D86" s="44"/>
      <c r="E86" s="44">
        <v>15619096</v>
      </c>
      <c r="F86" s="44"/>
      <c r="G86" s="44">
        <v>69685</v>
      </c>
      <c r="H86" s="44"/>
      <c r="I86" s="44">
        <f>2133523+4510526+435568</f>
        <v>7079617</v>
      </c>
      <c r="J86" s="44"/>
      <c r="K86" s="44">
        <f>4095521+1365306+2731670</f>
        <v>8192497</v>
      </c>
      <c r="L86" s="44"/>
      <c r="M86" s="44">
        <v>141902</v>
      </c>
      <c r="N86" s="44"/>
      <c r="O86" s="44">
        <v>3314230</v>
      </c>
      <c r="P86" s="44"/>
      <c r="Q86" s="44">
        <f>1033299+210618</f>
        <v>1243917</v>
      </c>
      <c r="R86" s="44"/>
      <c r="S86" s="44">
        <v>27830</v>
      </c>
      <c r="T86" s="44"/>
      <c r="U86" s="44">
        <v>-350000</v>
      </c>
      <c r="V86" s="44"/>
      <c r="W86" s="44">
        <f t="shared" si="4"/>
        <v>19649993</v>
      </c>
      <c r="X86" s="44"/>
      <c r="Y86" s="44">
        <f t="shared" si="3"/>
        <v>41686275</v>
      </c>
    </row>
    <row r="87" spans="1:25" ht="12.75">
      <c r="A87" s="23" t="s">
        <v>73</v>
      </c>
      <c r="B87" s="23"/>
      <c r="C87" s="24">
        <v>34423853</v>
      </c>
      <c r="D87" s="24"/>
      <c r="E87" s="24">
        <v>117261132</v>
      </c>
      <c r="F87" s="24"/>
      <c r="G87" s="24">
        <v>9454648</v>
      </c>
      <c r="H87" s="24"/>
      <c r="I87" s="24">
        <f>30116019+21445647</f>
        <v>51561666</v>
      </c>
      <c r="J87" s="24"/>
      <c r="K87" s="24">
        <v>12988069</v>
      </c>
      <c r="L87" s="24"/>
      <c r="M87" s="24">
        <v>0</v>
      </c>
      <c r="N87" s="24"/>
      <c r="O87" s="24">
        <v>19212051</v>
      </c>
      <c r="P87" s="24"/>
      <c r="Q87" s="24">
        <v>6704326</v>
      </c>
      <c r="R87" s="24"/>
      <c r="S87" s="24">
        <f>7282518+21828</f>
        <v>7304346</v>
      </c>
      <c r="T87" s="24"/>
      <c r="U87" s="24">
        <v>0</v>
      </c>
      <c r="V87" s="24"/>
      <c r="W87" s="24">
        <f t="shared" si="4"/>
        <v>97770458</v>
      </c>
      <c r="X87" s="24"/>
      <c r="Y87" s="24">
        <f t="shared" si="3"/>
        <v>258910091</v>
      </c>
    </row>
    <row r="88" spans="1:25" ht="12.75">
      <c r="A88" s="23" t="s">
        <v>74</v>
      </c>
      <c r="B88" s="23"/>
      <c r="C88" s="24">
        <v>47067811</v>
      </c>
      <c r="D88" s="24"/>
      <c r="E88" s="24">
        <v>192972318</v>
      </c>
      <c r="F88" s="24"/>
      <c r="G88" s="24">
        <v>0</v>
      </c>
      <c r="H88" s="24"/>
      <c r="I88" s="24">
        <f>116059736+7231209</f>
        <v>123290945</v>
      </c>
      <c r="J88" s="24"/>
      <c r="K88" s="24">
        <v>36714792</v>
      </c>
      <c r="L88" s="24"/>
      <c r="M88" s="24">
        <f>7840180+3986210</f>
        <v>11826390</v>
      </c>
      <c r="N88" s="24"/>
      <c r="O88" s="24">
        <v>19875729</v>
      </c>
      <c r="P88" s="24"/>
      <c r="Q88" s="24">
        <v>14479366</v>
      </c>
      <c r="R88" s="24"/>
      <c r="S88" s="24">
        <f>383335+758551</f>
        <v>1141886</v>
      </c>
      <c r="T88" s="24"/>
      <c r="U88" s="24">
        <v>0</v>
      </c>
      <c r="V88" s="24"/>
      <c r="W88" s="24">
        <f t="shared" si="4"/>
        <v>207329108</v>
      </c>
      <c r="X88" s="24"/>
      <c r="Y88" s="24">
        <f t="shared" si="3"/>
        <v>447369237</v>
      </c>
    </row>
    <row r="89" spans="1:25" ht="12.75">
      <c r="A89" s="23" t="s">
        <v>75</v>
      </c>
      <c r="B89" s="23"/>
      <c r="C89" s="24">
        <v>14452077</v>
      </c>
      <c r="D89" s="24"/>
      <c r="E89" s="24">
        <v>84298609</v>
      </c>
      <c r="F89" s="24"/>
      <c r="G89" s="24">
        <v>6927846</v>
      </c>
      <c r="H89" s="24"/>
      <c r="I89" s="24">
        <f>8797443+15270244+3609031+8044715+2502882</f>
        <v>38224315</v>
      </c>
      <c r="J89" s="24"/>
      <c r="K89" s="24">
        <f>22500179+2458433</f>
        <v>24958612</v>
      </c>
      <c r="L89" s="24"/>
      <c r="M89" s="24">
        <v>0</v>
      </c>
      <c r="N89" s="24"/>
      <c r="O89" s="24">
        <v>6842300</v>
      </c>
      <c r="P89" s="24"/>
      <c r="Q89" s="24">
        <v>5335189</v>
      </c>
      <c r="R89" s="24"/>
      <c r="S89" s="24">
        <v>1082327</v>
      </c>
      <c r="T89" s="24"/>
      <c r="U89" s="24">
        <v>0</v>
      </c>
      <c r="V89" s="24"/>
      <c r="W89" s="24">
        <f t="shared" si="4"/>
        <v>76442743</v>
      </c>
      <c r="X89" s="24"/>
      <c r="Y89" s="24">
        <f t="shared" si="3"/>
        <v>182121275</v>
      </c>
    </row>
    <row r="90" spans="1:25" ht="12.75">
      <c r="A90" s="23" t="s">
        <v>76</v>
      </c>
      <c r="B90" s="23"/>
      <c r="C90" s="24">
        <v>7498394</v>
      </c>
      <c r="D90" s="24"/>
      <c r="E90" s="24">
        <v>23805579</v>
      </c>
      <c r="F90" s="24"/>
      <c r="G90" s="24">
        <v>1340958</v>
      </c>
      <c r="H90" s="24"/>
      <c r="I90" s="24">
        <f>3848506+4754601+1032466+374695</f>
        <v>10010268</v>
      </c>
      <c r="J90" s="24"/>
      <c r="K90" s="24">
        <v>9491461</v>
      </c>
      <c r="L90" s="24"/>
      <c r="M90" s="24">
        <v>0</v>
      </c>
      <c r="N90" s="24"/>
      <c r="O90" s="24">
        <v>2702419</v>
      </c>
      <c r="P90" s="24"/>
      <c r="Q90" s="24">
        <v>3003932</v>
      </c>
      <c r="R90" s="24"/>
      <c r="S90" s="24">
        <v>1688345</v>
      </c>
      <c r="T90" s="24"/>
      <c r="U90" s="24">
        <v>0</v>
      </c>
      <c r="V90" s="24"/>
      <c r="W90" s="24">
        <f t="shared" si="4"/>
        <v>26896425</v>
      </c>
      <c r="X90" s="24"/>
      <c r="Y90" s="24">
        <f t="shared" si="3"/>
        <v>59541356</v>
      </c>
    </row>
    <row r="91" spans="1:25" ht="12.75">
      <c r="A91" s="23" t="s">
        <v>77</v>
      </c>
      <c r="B91" s="23"/>
      <c r="C91" s="24">
        <v>6127764</v>
      </c>
      <c r="D91" s="24"/>
      <c r="E91" s="24">
        <v>8930459</v>
      </c>
      <c r="F91" s="24"/>
      <c r="G91" s="24">
        <v>1109140</v>
      </c>
      <c r="H91" s="24"/>
      <c r="I91" s="24">
        <f>4179838+6577514+579606+578854</f>
        <v>11915812</v>
      </c>
      <c r="J91" s="24"/>
      <c r="K91" s="24">
        <v>9379361</v>
      </c>
      <c r="L91" s="24"/>
      <c r="M91" s="24">
        <v>0</v>
      </c>
      <c r="N91" s="24"/>
      <c r="O91" s="24">
        <v>9597276</v>
      </c>
      <c r="P91" s="24"/>
      <c r="Q91" s="24">
        <v>1800912</v>
      </c>
      <c r="R91" s="24"/>
      <c r="S91" s="24">
        <v>1653762</v>
      </c>
      <c r="T91" s="24"/>
      <c r="U91" s="24">
        <v>0</v>
      </c>
      <c r="V91" s="24"/>
      <c r="W91" s="24">
        <f t="shared" si="4"/>
        <v>34347123</v>
      </c>
      <c r="X91" s="24"/>
      <c r="Y91" s="24">
        <f t="shared" si="3"/>
        <v>50514486</v>
      </c>
    </row>
    <row r="92" spans="1:25" ht="12.75">
      <c r="A92" s="23" t="s">
        <v>78</v>
      </c>
      <c r="B92" s="23"/>
      <c r="C92" s="24">
        <v>3071579</v>
      </c>
      <c r="D92" s="24"/>
      <c r="E92" s="24">
        <v>11423713</v>
      </c>
      <c r="F92" s="24"/>
      <c r="G92" s="24">
        <v>0</v>
      </c>
      <c r="H92" s="24"/>
      <c r="I92" s="24">
        <f>947178+1572444+454136</f>
        <v>2973758</v>
      </c>
      <c r="J92" s="24"/>
      <c r="K92" s="24">
        <v>3726211</v>
      </c>
      <c r="L92" s="24"/>
      <c r="M92" s="24">
        <v>101401</v>
      </c>
      <c r="N92" s="24"/>
      <c r="O92" s="24">
        <v>1107041</v>
      </c>
      <c r="P92" s="24"/>
      <c r="Q92" s="24">
        <v>497881</v>
      </c>
      <c r="R92" s="24"/>
      <c r="S92" s="24">
        <f>272277+47215</f>
        <v>319492</v>
      </c>
      <c r="T92" s="24"/>
      <c r="U92" s="24">
        <v>0</v>
      </c>
      <c r="V92" s="24"/>
      <c r="W92" s="24">
        <f t="shared" si="4"/>
        <v>8725784</v>
      </c>
      <c r="X92" s="24"/>
      <c r="Y92" s="24">
        <f t="shared" si="3"/>
        <v>23221076</v>
      </c>
    </row>
    <row r="93" spans="1:25" ht="12.75" hidden="1">
      <c r="A93" s="23" t="s">
        <v>79</v>
      </c>
      <c r="B93" s="23"/>
      <c r="C93" s="24">
        <v>0</v>
      </c>
      <c r="D93" s="24"/>
      <c r="E93" s="24">
        <v>0</v>
      </c>
      <c r="F93" s="24"/>
      <c r="G93" s="24">
        <v>0</v>
      </c>
      <c r="H93" s="24"/>
      <c r="I93" s="24">
        <v>0</v>
      </c>
      <c r="J93" s="24"/>
      <c r="K93" s="24"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v>0</v>
      </c>
      <c r="T93" s="24"/>
      <c r="U93" s="24">
        <v>0</v>
      </c>
      <c r="V93" s="24"/>
      <c r="W93" s="24">
        <f t="shared" si="4"/>
        <v>0</v>
      </c>
      <c r="X93" s="24"/>
      <c r="Y93" s="24">
        <f t="shared" si="3"/>
        <v>0</v>
      </c>
    </row>
    <row r="94" spans="1:25" ht="12.75">
      <c r="A94" s="23" t="s">
        <v>80</v>
      </c>
      <c r="B94" s="23"/>
      <c r="C94" s="24">
        <v>17236905</v>
      </c>
      <c r="D94" s="24"/>
      <c r="E94" s="24">
        <v>20486915</v>
      </c>
      <c r="F94" s="24"/>
      <c r="G94" s="24">
        <v>2830599</v>
      </c>
      <c r="H94" s="24"/>
      <c r="I94" s="24">
        <v>37654331</v>
      </c>
      <c r="J94" s="24"/>
      <c r="K94" s="24">
        <v>26750179</v>
      </c>
      <c r="L94" s="24"/>
      <c r="M94" s="24">
        <f>8071520+232555</f>
        <v>8304075</v>
      </c>
      <c r="N94" s="24"/>
      <c r="O94" s="24">
        <v>8005979</v>
      </c>
      <c r="P94" s="24"/>
      <c r="Q94" s="24">
        <v>10373240</v>
      </c>
      <c r="R94" s="24"/>
      <c r="S94" s="24">
        <v>13006</v>
      </c>
      <c r="T94" s="24"/>
      <c r="U94" s="24">
        <v>0</v>
      </c>
      <c r="V94" s="24"/>
      <c r="W94" s="24">
        <f t="shared" si="4"/>
        <v>91100810</v>
      </c>
      <c r="X94" s="24"/>
      <c r="Y94" s="24">
        <f aca="true" t="shared" si="5" ref="Y94:Y99">SUM(B94:V94)</f>
        <v>131655229</v>
      </c>
    </row>
    <row r="95" spans="1:25" ht="12.75">
      <c r="A95" s="23" t="s">
        <v>81</v>
      </c>
      <c r="B95" s="23"/>
      <c r="C95" s="24">
        <v>5702407</v>
      </c>
      <c r="D95" s="24"/>
      <c r="E95" s="24">
        <v>25961926</v>
      </c>
      <c r="F95" s="24"/>
      <c r="G95" s="24">
        <v>1201673</v>
      </c>
      <c r="H95" s="24"/>
      <c r="I95" s="24">
        <f>2477132+2132883+3573927+910741+213763</f>
        <v>9308446</v>
      </c>
      <c r="J95" s="24"/>
      <c r="K95" s="24">
        <v>9800888</v>
      </c>
      <c r="L95" s="24"/>
      <c r="M95" s="24">
        <v>0</v>
      </c>
      <c r="N95" s="24"/>
      <c r="O95" s="24">
        <v>1784031</v>
      </c>
      <c r="P95" s="24"/>
      <c r="Q95" s="24">
        <v>1058656</v>
      </c>
      <c r="R95" s="24"/>
      <c r="S95" s="24">
        <f>79895+723985</f>
        <v>803880</v>
      </c>
      <c r="T95" s="24"/>
      <c r="U95" s="24">
        <v>0</v>
      </c>
      <c r="V95" s="24"/>
      <c r="W95" s="24">
        <f t="shared" si="4"/>
        <v>22755901</v>
      </c>
      <c r="X95" s="24"/>
      <c r="Y95" s="24">
        <f t="shared" si="5"/>
        <v>55621907</v>
      </c>
    </row>
    <row r="96" spans="1:25" ht="12.75">
      <c r="A96" s="23" t="s">
        <v>82</v>
      </c>
      <c r="B96" s="23"/>
      <c r="C96" s="24">
        <v>14436931</v>
      </c>
      <c r="D96" s="24"/>
      <c r="E96" s="24">
        <v>26881248</v>
      </c>
      <c r="F96" s="24"/>
      <c r="G96" s="24">
        <v>6553127</v>
      </c>
      <c r="H96" s="24"/>
      <c r="I96" s="24">
        <f>3680018+6030019+3493610+1025712</f>
        <v>14229359</v>
      </c>
      <c r="J96" s="24"/>
      <c r="K96" s="24">
        <v>9749972</v>
      </c>
      <c r="L96" s="24"/>
      <c r="M96" s="24">
        <v>0</v>
      </c>
      <c r="N96" s="24"/>
      <c r="O96" s="24">
        <v>4042417</v>
      </c>
      <c r="P96" s="24"/>
      <c r="Q96" s="24">
        <v>3267530</v>
      </c>
      <c r="R96" s="24"/>
      <c r="S96" s="24">
        <v>704234</v>
      </c>
      <c r="T96" s="24"/>
      <c r="U96" s="24">
        <v>-10000</v>
      </c>
      <c r="V96" s="24"/>
      <c r="W96" s="24">
        <f t="shared" si="4"/>
        <v>31983512</v>
      </c>
      <c r="X96" s="24"/>
      <c r="Y96" s="24">
        <f t="shared" si="5"/>
        <v>79854818</v>
      </c>
    </row>
    <row r="97" spans="1:25" ht="12.75" hidden="1">
      <c r="A97" s="23" t="s">
        <v>174</v>
      </c>
      <c r="B97" s="23"/>
      <c r="C97" s="24">
        <v>0</v>
      </c>
      <c r="D97" s="24"/>
      <c r="E97" s="24">
        <v>0</v>
      </c>
      <c r="F97" s="24"/>
      <c r="G97" s="24">
        <v>0</v>
      </c>
      <c r="H97" s="24"/>
      <c r="I97" s="24">
        <v>0</v>
      </c>
      <c r="J97" s="24"/>
      <c r="K97" s="24"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v>0</v>
      </c>
      <c r="T97" s="24"/>
      <c r="U97" s="24">
        <v>0</v>
      </c>
      <c r="V97" s="24"/>
      <c r="W97" s="24">
        <f t="shared" si="4"/>
        <v>0</v>
      </c>
      <c r="X97" s="24"/>
      <c r="Y97" s="24">
        <f t="shared" si="5"/>
        <v>0</v>
      </c>
    </row>
    <row r="98" spans="1:25" ht="12.75">
      <c r="A98" s="23" t="s">
        <v>83</v>
      </c>
      <c r="B98" s="23"/>
      <c r="C98" s="24">
        <v>20433827</v>
      </c>
      <c r="D98" s="24"/>
      <c r="E98" s="24">
        <v>37555978</v>
      </c>
      <c r="F98" s="24"/>
      <c r="G98" s="24">
        <v>1408173</v>
      </c>
      <c r="H98" s="24"/>
      <c r="I98" s="24">
        <f>6079003+5544107+2354705+10836611+1804504+129308</f>
        <v>26748238</v>
      </c>
      <c r="J98" s="24"/>
      <c r="K98" s="24">
        <v>15403261</v>
      </c>
      <c r="L98" s="24"/>
      <c r="M98" s="24">
        <v>143863</v>
      </c>
      <c r="N98" s="24"/>
      <c r="O98" s="24">
        <v>3468090</v>
      </c>
      <c r="P98" s="24"/>
      <c r="Q98" s="24">
        <v>6214465</v>
      </c>
      <c r="R98" s="24"/>
      <c r="S98" s="24">
        <v>1807029</v>
      </c>
      <c r="T98" s="24"/>
      <c r="U98" s="24">
        <v>0</v>
      </c>
      <c r="V98" s="24"/>
      <c r="W98" s="24">
        <f t="shared" si="4"/>
        <v>53784946</v>
      </c>
      <c r="X98" s="24"/>
      <c r="Y98" s="24">
        <f t="shared" si="5"/>
        <v>113182924</v>
      </c>
    </row>
    <row r="99" spans="1:25" ht="12.75" hidden="1">
      <c r="A99" s="23" t="s">
        <v>175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>
        <v>0</v>
      </c>
      <c r="V99" s="24"/>
      <c r="W99" s="24">
        <f>SUM(I99:U99)</f>
        <v>0</v>
      </c>
      <c r="X99" s="24"/>
      <c r="Y99" s="24">
        <f t="shared" si="5"/>
        <v>0</v>
      </c>
    </row>
    <row r="100" spans="1:25" ht="12.75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2.75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2.75">
      <c r="A102" s="33"/>
      <c r="B102" s="3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2.75">
      <c r="A103" s="33"/>
      <c r="B103" s="3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</sheetData>
  <sheetProtection/>
  <printOptions horizontalCentered="1"/>
  <pageMargins left="1" right="1" top="0.5" bottom="0.5" header="0" footer="0.25"/>
  <pageSetup firstPageNumber="8" useFirstPageNumber="1" horizontalDpi="600" verticalDpi="600" orientation="portrait" pageOrder="overThenDown" scale="91" r:id="rId1"/>
  <headerFooter alignWithMargins="0">
    <oddFooter>&amp;C&amp;"Times New Roman,Regular"&amp;11&amp;P</oddFooter>
  </headerFooter>
  <rowBreaks count="1" manualBreakCount="1">
    <brk id="82" max="24" man="1"/>
  </rowBreaks>
  <colBreaks count="1" manualBreakCount="1">
    <brk id="13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AH110"/>
  <sheetViews>
    <sheetView zoomScalePageLayoutView="0" workbookViewId="0" topLeftCell="A1">
      <pane xSplit="1" ySplit="9" topLeftCell="T9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M80" sqref="AM80"/>
    </sheetView>
  </sheetViews>
  <sheetFormatPr defaultColWidth="9.140625" defaultRowHeight="12.75"/>
  <cols>
    <col min="1" max="1" width="15.7109375" style="97" customWidth="1"/>
    <col min="2" max="2" width="1.7109375" style="26" customWidth="1"/>
    <col min="3" max="3" width="11.7109375" style="26" customWidth="1"/>
    <col min="4" max="4" width="1.7109375" style="26" customWidth="1"/>
    <col min="5" max="5" width="11.7109375" style="26" customWidth="1"/>
    <col min="6" max="6" width="1.7109375" style="26" customWidth="1"/>
    <col min="7" max="7" width="11.7109375" style="26" customWidth="1"/>
    <col min="8" max="8" width="1.7109375" style="26" customWidth="1"/>
    <col min="9" max="9" width="11.7109375" style="26" customWidth="1"/>
    <col min="10" max="10" width="1.7109375" style="26" customWidth="1"/>
    <col min="11" max="11" width="11.7109375" style="26" customWidth="1"/>
    <col min="12" max="12" width="1.7109375" style="26" customWidth="1"/>
    <col min="13" max="13" width="11.7109375" style="26" customWidth="1"/>
    <col min="14" max="14" width="1.7109375" style="26" customWidth="1"/>
    <col min="15" max="15" width="11.7109375" style="26" customWidth="1"/>
    <col min="16" max="16" width="1.7109375" style="26" customWidth="1"/>
    <col min="17" max="17" width="11.7109375" style="26" customWidth="1"/>
    <col min="18" max="18" width="1.7109375" style="26" customWidth="1"/>
    <col min="19" max="19" width="11.7109375" style="26" customWidth="1"/>
    <col min="20" max="20" width="1.7109375" style="26" customWidth="1"/>
    <col min="21" max="21" width="11.7109375" style="26" customWidth="1"/>
    <col min="22" max="22" width="1.7109375" style="26" customWidth="1"/>
    <col min="23" max="23" width="11.7109375" style="26" customWidth="1"/>
    <col min="24" max="24" width="1.7109375" style="26" customWidth="1"/>
    <col min="25" max="25" width="11.7109375" style="97" customWidth="1"/>
    <col min="26" max="26" width="2.7109375" style="26" customWidth="1"/>
    <col min="27" max="27" width="12.7109375" style="26" customWidth="1"/>
    <col min="28" max="28" width="2.7109375" style="26" customWidth="1"/>
    <col min="29" max="29" width="12.7109375" style="26" customWidth="1"/>
    <col min="30" max="30" width="2.7109375" style="26" customWidth="1"/>
    <col min="31" max="32" width="12.7109375" style="97" customWidth="1"/>
    <col min="33" max="33" width="9.8515625" style="26" bestFit="1" customWidth="1"/>
    <col min="34" max="16384" width="9.140625" style="26" customWidth="1"/>
  </cols>
  <sheetData>
    <row r="1" spans="1:33" ht="12.75">
      <c r="A1" s="49" t="s">
        <v>233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8"/>
      <c r="AG1" s="28"/>
    </row>
    <row r="2" spans="1:33" ht="12.75">
      <c r="A2" s="49" t="s">
        <v>248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8"/>
      <c r="AG2" s="28"/>
    </row>
    <row r="3" spans="1:33" ht="12.75">
      <c r="A3" s="3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8"/>
      <c r="AG3" s="28"/>
    </row>
    <row r="4" spans="1:33" ht="12.75">
      <c r="A4" s="49" t="s">
        <v>184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8"/>
      <c r="AG4" s="28"/>
    </row>
    <row r="5" spans="1:33" ht="12.75">
      <c r="A5" s="3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8"/>
      <c r="AG5" s="28"/>
    </row>
    <row r="6" spans="1:33" ht="12.75">
      <c r="A6" s="49" t="s">
        <v>253</v>
      </c>
      <c r="B6" s="24"/>
      <c r="C6" s="50" t="s">
        <v>146</v>
      </c>
      <c r="D6" s="50"/>
      <c r="E6" s="50"/>
      <c r="F6" s="50"/>
      <c r="G6" s="50"/>
      <c r="H6" s="50"/>
      <c r="I6" s="50"/>
      <c r="J6" s="50"/>
      <c r="K6" s="50"/>
      <c r="L6" s="54" t="s">
        <v>194</v>
      </c>
      <c r="M6" s="50"/>
      <c r="N6" s="51"/>
      <c r="O6" s="50"/>
      <c r="P6" s="50"/>
      <c r="Q6" s="50"/>
      <c r="R6" s="50"/>
      <c r="S6" s="50"/>
      <c r="T6" s="50"/>
      <c r="U6" s="50"/>
      <c r="V6" s="50"/>
      <c r="W6" s="50"/>
      <c r="X6" s="51"/>
      <c r="Y6" s="24"/>
      <c r="Z6" s="24"/>
      <c r="AA6" s="24"/>
      <c r="AB6" s="24"/>
      <c r="AC6" s="24"/>
      <c r="AD6" s="24"/>
      <c r="AE6" s="24"/>
      <c r="AF6" s="28"/>
      <c r="AG6" s="28"/>
    </row>
    <row r="7" spans="1:33" ht="12.75">
      <c r="A7" s="19"/>
      <c r="B7" s="24"/>
      <c r="C7" s="21" t="s">
        <v>185</v>
      </c>
      <c r="D7" s="21"/>
      <c r="E7" s="21"/>
      <c r="F7" s="21"/>
      <c r="G7" s="21" t="s">
        <v>84</v>
      </c>
      <c r="H7" s="21"/>
      <c r="I7" s="21" t="s">
        <v>84</v>
      </c>
      <c r="J7" s="21"/>
      <c r="K7" s="21"/>
      <c r="L7" s="21"/>
      <c r="M7" s="21" t="s">
        <v>85</v>
      </c>
      <c r="N7" s="21"/>
      <c r="O7" s="21" t="s">
        <v>165</v>
      </c>
      <c r="P7" s="21"/>
      <c r="Q7" s="21" t="s">
        <v>86</v>
      </c>
      <c r="R7" s="21"/>
      <c r="S7" s="21"/>
      <c r="T7" s="21"/>
      <c r="U7" s="21" t="s">
        <v>1</v>
      </c>
      <c r="V7" s="21"/>
      <c r="W7" s="52" t="s">
        <v>100</v>
      </c>
      <c r="X7" s="52"/>
      <c r="Y7" s="52"/>
      <c r="Z7" s="52"/>
      <c r="AA7" s="52" t="s">
        <v>150</v>
      </c>
      <c r="AB7" s="52"/>
      <c r="AC7" s="52" t="s">
        <v>138</v>
      </c>
      <c r="AD7" s="52"/>
      <c r="AE7" s="52" t="s">
        <v>138</v>
      </c>
      <c r="AF7" s="28"/>
      <c r="AG7" s="28"/>
    </row>
    <row r="8" spans="1:33" ht="12.75">
      <c r="A8" s="53" t="s">
        <v>5</v>
      </c>
      <c r="B8" s="24"/>
      <c r="C8" s="55" t="s">
        <v>186</v>
      </c>
      <c r="D8" s="24"/>
      <c r="E8" s="55" t="s">
        <v>88</v>
      </c>
      <c r="F8" s="24"/>
      <c r="G8" s="55" t="s">
        <v>89</v>
      </c>
      <c r="H8" s="24"/>
      <c r="I8" s="55" t="s">
        <v>90</v>
      </c>
      <c r="J8" s="24"/>
      <c r="K8" s="55" t="s">
        <v>91</v>
      </c>
      <c r="L8" s="24"/>
      <c r="M8" s="55" t="s">
        <v>8</v>
      </c>
      <c r="N8" s="24"/>
      <c r="O8" s="55" t="s">
        <v>166</v>
      </c>
      <c r="P8" s="24"/>
      <c r="Q8" s="55" t="s">
        <v>189</v>
      </c>
      <c r="R8" s="24"/>
      <c r="S8" s="55" t="s">
        <v>105</v>
      </c>
      <c r="T8" s="24"/>
      <c r="U8" s="55" t="s">
        <v>9</v>
      </c>
      <c r="V8" s="24"/>
      <c r="W8" s="20" t="s">
        <v>95</v>
      </c>
      <c r="X8" s="24"/>
      <c r="Y8" s="20" t="s">
        <v>4</v>
      </c>
      <c r="Z8" s="24"/>
      <c r="AA8" s="20" t="s">
        <v>138</v>
      </c>
      <c r="AB8" s="24"/>
      <c r="AC8" s="56">
        <v>39083</v>
      </c>
      <c r="AD8" s="24"/>
      <c r="AE8" s="56">
        <v>39082</v>
      </c>
      <c r="AF8" s="28" t="s">
        <v>206</v>
      </c>
      <c r="AG8" s="28"/>
    </row>
    <row r="9" spans="1:33" ht="12.75">
      <c r="A9" s="19"/>
      <c r="B9" s="24"/>
      <c r="C9" s="21"/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24"/>
      <c r="Q9" s="21"/>
      <c r="R9" s="24"/>
      <c r="S9" s="21"/>
      <c r="T9" s="24"/>
      <c r="U9" s="21"/>
      <c r="V9" s="24"/>
      <c r="W9" s="21"/>
      <c r="X9" s="24"/>
      <c r="Y9" s="21"/>
      <c r="Z9" s="24"/>
      <c r="AA9" s="21"/>
      <c r="AB9" s="24"/>
      <c r="AC9" s="27"/>
      <c r="AD9" s="24"/>
      <c r="AE9" s="27"/>
      <c r="AF9" s="28"/>
      <c r="AG9" s="28"/>
    </row>
    <row r="10" spans="1:33" ht="12.75" hidden="1">
      <c r="A10" s="89" t="s">
        <v>237</v>
      </c>
      <c r="B10" s="24"/>
      <c r="C10" s="44">
        <v>0</v>
      </c>
      <c r="D10" s="44"/>
      <c r="E10" s="44">
        <v>0</v>
      </c>
      <c r="F10" s="44"/>
      <c r="G10" s="44">
        <v>0</v>
      </c>
      <c r="H10" s="44"/>
      <c r="I10" s="44">
        <v>0</v>
      </c>
      <c r="J10" s="44"/>
      <c r="K10" s="44">
        <v>0</v>
      </c>
      <c r="L10" s="44"/>
      <c r="M10" s="44">
        <v>0</v>
      </c>
      <c r="N10" s="44"/>
      <c r="O10" s="44">
        <v>0</v>
      </c>
      <c r="P10" s="44"/>
      <c r="Q10" s="44">
        <v>0</v>
      </c>
      <c r="R10" s="44"/>
      <c r="S10" s="44">
        <v>0</v>
      </c>
      <c r="T10" s="44"/>
      <c r="U10" s="44">
        <v>0</v>
      </c>
      <c r="V10" s="44"/>
      <c r="W10" s="44">
        <v>0</v>
      </c>
      <c r="X10" s="44"/>
      <c r="Y10" s="44">
        <f>SUM(C10:W10)</f>
        <v>0</v>
      </c>
      <c r="Z10" s="24"/>
      <c r="AA10" s="44">
        <v>0</v>
      </c>
      <c r="AB10" s="24"/>
      <c r="AC10" s="44">
        <v>0</v>
      </c>
      <c r="AD10" s="24"/>
      <c r="AE10" s="24">
        <f>+AC10+AA10</f>
        <v>0</v>
      </c>
      <c r="AF10" s="25">
        <f>+'St of Net Assets - GA'!W10-'St of Activities - GA Exp'!AE10</f>
        <v>0</v>
      </c>
      <c r="AG10" s="28"/>
    </row>
    <row r="11" spans="1:33" ht="12.75">
      <c r="A11" s="23" t="s">
        <v>13</v>
      </c>
      <c r="B11" s="24"/>
      <c r="C11" s="44">
        <v>15088475</v>
      </c>
      <c r="D11" s="44"/>
      <c r="E11" s="44">
        <v>8888082</v>
      </c>
      <c r="F11" s="44"/>
      <c r="G11" s="44">
        <v>10508141</v>
      </c>
      <c r="H11" s="44"/>
      <c r="I11" s="44">
        <v>8875804</v>
      </c>
      <c r="J11" s="44"/>
      <c r="K11" s="44">
        <f>12342523+767622</f>
        <v>13110145</v>
      </c>
      <c r="L11" s="44"/>
      <c r="M11" s="44">
        <f>12926799+7275613+2104797</f>
        <v>22307209</v>
      </c>
      <c r="N11" s="44"/>
      <c r="O11" s="44">
        <v>0</v>
      </c>
      <c r="P11" s="44"/>
      <c r="Q11" s="44">
        <v>1957317</v>
      </c>
      <c r="R11" s="44"/>
      <c r="S11" s="44">
        <v>361526</v>
      </c>
      <c r="T11" s="44"/>
      <c r="U11" s="44">
        <v>663019</v>
      </c>
      <c r="V11" s="44"/>
      <c r="W11" s="44">
        <v>1254775</v>
      </c>
      <c r="X11" s="44"/>
      <c r="Y11" s="44">
        <f>SUM(C11:W11)</f>
        <v>83014493</v>
      </c>
      <c r="Z11" s="24"/>
      <c r="AA11" s="44">
        <v>-3418455</v>
      </c>
      <c r="AB11" s="24"/>
      <c r="AC11" s="44">
        <v>73216709</v>
      </c>
      <c r="AD11" s="24"/>
      <c r="AE11" s="24">
        <f>+AC11+AA11</f>
        <v>69798254</v>
      </c>
      <c r="AF11" s="25">
        <f>+'St of Net Assets - GA'!W11-'St of Activities - GA Exp'!AE11</f>
        <v>0</v>
      </c>
      <c r="AG11" s="28"/>
    </row>
    <row r="12" spans="1:33" ht="12.75">
      <c r="A12" s="23" t="s">
        <v>14</v>
      </c>
      <c r="B12" s="24"/>
      <c r="C12" s="24">
        <v>6083301</v>
      </c>
      <c r="D12" s="24"/>
      <c r="E12" s="24">
        <v>1800374</v>
      </c>
      <c r="F12" s="24"/>
      <c r="G12" s="24">
        <f>6159777+247989</f>
        <v>6407766</v>
      </c>
      <c r="H12" s="24"/>
      <c r="I12" s="24">
        <v>5019879</v>
      </c>
      <c r="J12" s="24"/>
      <c r="K12" s="24">
        <f>4960362+5647719+513541</f>
        <v>11121622</v>
      </c>
      <c r="L12" s="24"/>
      <c r="M12" s="24">
        <f>1791136+4030356+1387865</f>
        <v>7209357</v>
      </c>
      <c r="N12" s="24"/>
      <c r="O12" s="24">
        <v>0</v>
      </c>
      <c r="P12" s="24"/>
      <c r="Q12" s="24">
        <v>42077</v>
      </c>
      <c r="R12" s="24"/>
      <c r="S12" s="24">
        <v>159287</v>
      </c>
      <c r="T12" s="24"/>
      <c r="U12" s="24">
        <v>710482</v>
      </c>
      <c r="V12" s="24"/>
      <c r="W12" s="24">
        <v>215946</v>
      </c>
      <c r="X12" s="24"/>
      <c r="Y12" s="24">
        <f aca="true" t="shared" si="0" ref="Y12:Y28">SUM(C12:W12)</f>
        <v>38770091</v>
      </c>
      <c r="Z12" s="24"/>
      <c r="AA12" s="24">
        <v>886328</v>
      </c>
      <c r="AB12" s="24"/>
      <c r="AC12" s="24">
        <v>59356412</v>
      </c>
      <c r="AD12" s="24"/>
      <c r="AE12" s="24">
        <f aca="true" t="shared" si="1" ref="AE12:AE28">+AC12+AA12</f>
        <v>60242740</v>
      </c>
      <c r="AF12" s="25">
        <f>+'St of Net Assets - GA'!W12-'St of Activities - GA Exp'!AE12</f>
        <v>0</v>
      </c>
      <c r="AG12" s="28"/>
    </row>
    <row r="13" spans="1:33" ht="12.75">
      <c r="A13" s="23" t="s">
        <v>15</v>
      </c>
      <c r="B13" s="24"/>
      <c r="C13" s="24">
        <v>10189711</v>
      </c>
      <c r="D13" s="24"/>
      <c r="E13" s="24">
        <v>4502104</v>
      </c>
      <c r="F13" s="24"/>
      <c r="G13" s="24">
        <v>9811844</v>
      </c>
      <c r="H13" s="24"/>
      <c r="I13" s="24">
        <v>6846468</v>
      </c>
      <c r="J13" s="24"/>
      <c r="K13" s="24">
        <v>22994272</v>
      </c>
      <c r="L13" s="24"/>
      <c r="M13" s="24">
        <v>37738355</v>
      </c>
      <c r="N13" s="24"/>
      <c r="O13" s="24">
        <v>0</v>
      </c>
      <c r="P13" s="24"/>
      <c r="Q13" s="24">
        <v>385792</v>
      </c>
      <c r="R13" s="24"/>
      <c r="S13" s="24">
        <v>690965</v>
      </c>
      <c r="T13" s="24"/>
      <c r="U13" s="24">
        <v>0</v>
      </c>
      <c r="V13" s="24"/>
      <c r="W13" s="24">
        <v>317466</v>
      </c>
      <c r="X13" s="24"/>
      <c r="Y13" s="24">
        <f t="shared" si="0"/>
        <v>93476977</v>
      </c>
      <c r="Z13" s="24"/>
      <c r="AA13" s="24">
        <v>1605400</v>
      </c>
      <c r="AB13" s="24"/>
      <c r="AC13" s="24">
        <v>173193326</v>
      </c>
      <c r="AD13" s="24"/>
      <c r="AE13" s="24">
        <f t="shared" si="1"/>
        <v>174798726</v>
      </c>
      <c r="AF13" s="25">
        <f>+'St of Net Assets - GA'!W13-'St of Activities - GA Exp'!AE13</f>
        <v>0</v>
      </c>
      <c r="AG13" s="28"/>
    </row>
    <row r="14" spans="1:33" ht="12.75">
      <c r="A14" s="23" t="s">
        <v>16</v>
      </c>
      <c r="B14" s="24"/>
      <c r="C14" s="24">
        <v>6084309</v>
      </c>
      <c r="D14" s="24"/>
      <c r="E14" s="24">
        <v>2547729</v>
      </c>
      <c r="F14" s="24"/>
      <c r="G14" s="24">
        <v>4382624</v>
      </c>
      <c r="H14" s="24"/>
      <c r="I14" s="24">
        <v>7797780</v>
      </c>
      <c r="J14" s="24"/>
      <c r="K14" s="24">
        <v>2110528</v>
      </c>
      <c r="L14" s="24"/>
      <c r="M14" s="24">
        <v>30881377</v>
      </c>
      <c r="N14" s="24"/>
      <c r="O14" s="24">
        <v>0</v>
      </c>
      <c r="P14" s="24"/>
      <c r="Q14" s="24">
        <v>16491</v>
      </c>
      <c r="R14" s="24"/>
      <c r="S14" s="24">
        <v>263447</v>
      </c>
      <c r="T14" s="24"/>
      <c r="U14" s="24">
        <v>0</v>
      </c>
      <c r="V14" s="24"/>
      <c r="W14" s="24">
        <v>161501</v>
      </c>
      <c r="X14" s="24"/>
      <c r="Y14" s="24">
        <f t="shared" si="0"/>
        <v>54245786</v>
      </c>
      <c r="Z14" s="24"/>
      <c r="AA14" s="24">
        <v>751823</v>
      </c>
      <c r="AB14" s="24"/>
      <c r="AC14" s="24">
        <v>78950745</v>
      </c>
      <c r="AD14" s="24"/>
      <c r="AE14" s="24">
        <f t="shared" si="1"/>
        <v>79702568</v>
      </c>
      <c r="AF14" s="25">
        <f>+'St of Net Assets - GA'!W14-'St of Activities - GA Exp'!AE14</f>
        <v>0</v>
      </c>
      <c r="AG14" s="28"/>
    </row>
    <row r="15" spans="1:33" ht="12.75">
      <c r="A15" s="23" t="s">
        <v>17</v>
      </c>
      <c r="B15" s="24"/>
      <c r="C15" s="24">
        <v>4928230</v>
      </c>
      <c r="D15" s="24"/>
      <c r="E15" s="24">
        <v>1904535</v>
      </c>
      <c r="F15" s="24"/>
      <c r="G15" s="24">
        <v>5139920</v>
      </c>
      <c r="H15" s="24"/>
      <c r="I15" s="24">
        <v>5223833</v>
      </c>
      <c r="J15" s="24"/>
      <c r="K15" s="24">
        <v>5501944</v>
      </c>
      <c r="L15" s="24"/>
      <c r="M15" s="24">
        <v>4877572</v>
      </c>
      <c r="N15" s="24"/>
      <c r="O15" s="24">
        <v>0</v>
      </c>
      <c r="P15" s="24"/>
      <c r="Q15" s="24">
        <v>0</v>
      </c>
      <c r="R15" s="24"/>
      <c r="S15" s="24">
        <v>2034254</v>
      </c>
      <c r="T15" s="24"/>
      <c r="U15" s="24">
        <v>0</v>
      </c>
      <c r="V15" s="24"/>
      <c r="W15" s="24">
        <v>104945</v>
      </c>
      <c r="X15" s="24"/>
      <c r="Y15" s="24">
        <f t="shared" si="0"/>
        <v>29715233</v>
      </c>
      <c r="Z15" s="24"/>
      <c r="AA15" s="24">
        <v>3649429</v>
      </c>
      <c r="AB15" s="24"/>
      <c r="AC15" s="24">
        <v>51171809</v>
      </c>
      <c r="AD15" s="24"/>
      <c r="AE15" s="24">
        <f t="shared" si="1"/>
        <v>54821238</v>
      </c>
      <c r="AF15" s="25">
        <f>+'St of Net Assets - GA'!W15-'St of Activities - GA Exp'!AE15</f>
        <v>0</v>
      </c>
      <c r="AG15" s="28"/>
    </row>
    <row r="16" spans="1:33" ht="12.75">
      <c r="A16" s="23" t="s">
        <v>18</v>
      </c>
      <c r="B16" s="24"/>
      <c r="C16" s="24">
        <v>8508807</v>
      </c>
      <c r="D16" s="24"/>
      <c r="E16" s="24">
        <v>3517897</v>
      </c>
      <c r="F16" s="24"/>
      <c r="G16" s="24">
        <v>8735947</v>
      </c>
      <c r="H16" s="24"/>
      <c r="I16" s="24">
        <v>7299583</v>
      </c>
      <c r="J16" s="24"/>
      <c r="K16" s="24">
        <v>11809494</v>
      </c>
      <c r="L16" s="24"/>
      <c r="M16" s="24">
        <v>18346836</v>
      </c>
      <c r="N16" s="24"/>
      <c r="O16" s="24">
        <v>470000</v>
      </c>
      <c r="P16" s="24"/>
      <c r="Q16" s="24">
        <v>0</v>
      </c>
      <c r="R16" s="24"/>
      <c r="S16" s="24">
        <v>0</v>
      </c>
      <c r="T16" s="24"/>
      <c r="U16" s="24">
        <v>0</v>
      </c>
      <c r="V16" s="24"/>
      <c r="W16" s="24">
        <v>464702</v>
      </c>
      <c r="X16" s="24"/>
      <c r="Y16" s="24">
        <f t="shared" si="0"/>
        <v>59153266</v>
      </c>
      <c r="Z16" s="24"/>
      <c r="AA16" s="24">
        <v>5060260</v>
      </c>
      <c r="AB16" s="24"/>
      <c r="AC16" s="24">
        <v>96136212</v>
      </c>
      <c r="AD16" s="24"/>
      <c r="AE16" s="24">
        <f>+AC16+AA16</f>
        <v>101196472</v>
      </c>
      <c r="AF16" s="25">
        <f>+'St of Net Assets - GA'!W16-'St of Activities - GA Exp'!AE16</f>
        <v>0</v>
      </c>
      <c r="AG16" s="28"/>
    </row>
    <row r="17" spans="1:33" ht="12.75" hidden="1">
      <c r="A17" s="23" t="s">
        <v>240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>
        <f t="shared" si="0"/>
        <v>0</v>
      </c>
      <c r="Z17" s="24"/>
      <c r="AA17" s="24"/>
      <c r="AB17" s="24"/>
      <c r="AC17" s="24"/>
      <c r="AD17" s="24"/>
      <c r="AE17" s="24">
        <f t="shared" si="1"/>
        <v>0</v>
      </c>
      <c r="AF17" s="25">
        <f>+'St of Net Assets - GA'!W17-'St of Activities - GA Exp'!AE17</f>
        <v>0</v>
      </c>
      <c r="AG17" s="28"/>
    </row>
    <row r="18" spans="1:33" ht="12.75">
      <c r="A18" s="23" t="s">
        <v>238</v>
      </c>
      <c r="B18" s="24"/>
      <c r="C18" s="24">
        <v>35086479</v>
      </c>
      <c r="D18" s="24"/>
      <c r="E18" s="24">
        <v>16766093</v>
      </c>
      <c r="F18" s="24"/>
      <c r="G18" s="24">
        <v>51218782</v>
      </c>
      <c r="H18" s="24"/>
      <c r="I18" s="24">
        <v>24232310</v>
      </c>
      <c r="J18" s="24"/>
      <c r="K18" s="24">
        <v>54781525</v>
      </c>
      <c r="L18" s="24"/>
      <c r="M18" s="24">
        <v>89695591</v>
      </c>
      <c r="N18" s="24"/>
      <c r="O18" s="24">
        <v>0</v>
      </c>
      <c r="P18" s="24"/>
      <c r="Q18" s="24">
        <v>686496</v>
      </c>
      <c r="R18" s="24"/>
      <c r="S18" s="24">
        <v>0</v>
      </c>
      <c r="T18" s="24"/>
      <c r="U18" s="24">
        <v>0</v>
      </c>
      <c r="V18" s="24"/>
      <c r="W18" s="24">
        <v>5858506</v>
      </c>
      <c r="X18" s="24"/>
      <c r="Y18" s="24">
        <f t="shared" si="0"/>
        <v>278325782</v>
      </c>
      <c r="Z18" s="24"/>
      <c r="AA18" s="24">
        <v>42523613</v>
      </c>
      <c r="AB18" s="24"/>
      <c r="AC18" s="24">
        <v>412083757</v>
      </c>
      <c r="AD18" s="24"/>
      <c r="AE18" s="24">
        <f t="shared" si="1"/>
        <v>454607370</v>
      </c>
      <c r="AF18" s="25">
        <f>+'St of Net Assets - GA'!W18-'St of Activities - GA Exp'!AE18</f>
        <v>0</v>
      </c>
      <c r="AG18" s="28"/>
    </row>
    <row r="19" spans="1:33" ht="12.75">
      <c r="A19" s="23" t="s">
        <v>20</v>
      </c>
      <c r="B19" s="24"/>
      <c r="C19" s="24">
        <v>2759432</v>
      </c>
      <c r="D19" s="24"/>
      <c r="E19" s="24">
        <v>1036871</v>
      </c>
      <c r="F19" s="24"/>
      <c r="G19" s="24">
        <v>2437072</v>
      </c>
      <c r="H19" s="24"/>
      <c r="I19" s="24">
        <v>4683234</v>
      </c>
      <c r="J19" s="24"/>
      <c r="K19" s="24">
        <v>4435752</v>
      </c>
      <c r="L19" s="24"/>
      <c r="M19" s="24">
        <v>6334935</v>
      </c>
      <c r="N19" s="24"/>
      <c r="O19" s="24">
        <f>370866+44546</f>
        <v>415412</v>
      </c>
      <c r="P19" s="24"/>
      <c r="Q19" s="24">
        <v>0</v>
      </c>
      <c r="R19" s="24"/>
      <c r="S19" s="24">
        <v>1047890</v>
      </c>
      <c r="T19" s="24"/>
      <c r="U19" s="24">
        <v>0</v>
      </c>
      <c r="V19" s="24"/>
      <c r="W19" s="24">
        <v>18921</v>
      </c>
      <c r="X19" s="24"/>
      <c r="Y19" s="24">
        <f t="shared" si="0"/>
        <v>23169519</v>
      </c>
      <c r="Z19" s="24"/>
      <c r="AA19" s="24">
        <v>17568</v>
      </c>
      <c r="AB19" s="24"/>
      <c r="AC19" s="24">
        <v>17693510</v>
      </c>
      <c r="AD19" s="24"/>
      <c r="AE19" s="24">
        <f t="shared" si="1"/>
        <v>17711078</v>
      </c>
      <c r="AF19" s="25">
        <f>+'St of Net Assets - GA'!W19-'St of Activities - GA Exp'!AE19</f>
        <v>0</v>
      </c>
      <c r="AG19" s="29"/>
    </row>
    <row r="20" spans="1:33" ht="12.75" hidden="1">
      <c r="A20" s="23" t="s">
        <v>173</v>
      </c>
      <c r="B20" s="24"/>
      <c r="C20" s="24">
        <v>0</v>
      </c>
      <c r="D20" s="24"/>
      <c r="E20" s="24">
        <v>0</v>
      </c>
      <c r="F20" s="24"/>
      <c r="G20" s="24">
        <v>0</v>
      </c>
      <c r="H20" s="24"/>
      <c r="I20" s="24">
        <v>0</v>
      </c>
      <c r="J20" s="24"/>
      <c r="K20" s="24">
        <v>0</v>
      </c>
      <c r="L20" s="24"/>
      <c r="M20" s="24">
        <v>0</v>
      </c>
      <c r="N20" s="24"/>
      <c r="O20" s="24">
        <v>0</v>
      </c>
      <c r="P20" s="24"/>
      <c r="Q20" s="24">
        <v>0</v>
      </c>
      <c r="R20" s="24"/>
      <c r="S20" s="24">
        <v>0</v>
      </c>
      <c r="T20" s="24"/>
      <c r="U20" s="24">
        <v>0</v>
      </c>
      <c r="V20" s="24"/>
      <c r="W20" s="24">
        <v>0</v>
      </c>
      <c r="X20" s="24"/>
      <c r="Y20" s="24">
        <f t="shared" si="0"/>
        <v>0</v>
      </c>
      <c r="Z20" s="24"/>
      <c r="AA20" s="24">
        <v>0</v>
      </c>
      <c r="AB20" s="24"/>
      <c r="AC20" s="24">
        <v>0</v>
      </c>
      <c r="AD20" s="24"/>
      <c r="AE20" s="24">
        <f t="shared" si="1"/>
        <v>0</v>
      </c>
      <c r="AF20" s="25">
        <f>+'St of Net Assets - GA'!W20-'St of Activities - GA Exp'!AE20</f>
        <v>0</v>
      </c>
      <c r="AG20" s="28"/>
    </row>
    <row r="21" spans="1:33" ht="12.75">
      <c r="A21" s="23" t="s">
        <v>21</v>
      </c>
      <c r="B21" s="24"/>
      <c r="C21" s="24">
        <v>13580246</v>
      </c>
      <c r="D21" s="24"/>
      <c r="E21" s="24">
        <v>13907141</v>
      </c>
      <c r="F21" s="24"/>
      <c r="G21" s="24">
        <v>14914162</v>
      </c>
      <c r="H21" s="24"/>
      <c r="I21" s="24">
        <v>9621300</v>
      </c>
      <c r="J21" s="24"/>
      <c r="K21" s="24">
        <v>24364503</v>
      </c>
      <c r="L21" s="24"/>
      <c r="M21" s="24">
        <v>43325167</v>
      </c>
      <c r="N21" s="24"/>
      <c r="O21" s="24">
        <v>0</v>
      </c>
      <c r="P21" s="24"/>
      <c r="Q21" s="24">
        <v>1929530</v>
      </c>
      <c r="R21" s="24"/>
      <c r="S21" s="24">
        <v>0</v>
      </c>
      <c r="T21" s="24"/>
      <c r="U21" s="24">
        <v>0</v>
      </c>
      <c r="V21" s="24"/>
      <c r="W21" s="24">
        <v>829748</v>
      </c>
      <c r="X21" s="24"/>
      <c r="Y21" s="24">
        <f t="shared" si="0"/>
        <v>122471797</v>
      </c>
      <c r="Z21" s="24"/>
      <c r="AA21" s="24">
        <v>2671576</v>
      </c>
      <c r="AB21" s="24"/>
      <c r="AC21" s="24">
        <v>120523469</v>
      </c>
      <c r="AD21" s="24"/>
      <c r="AE21" s="24">
        <f t="shared" si="1"/>
        <v>123195045</v>
      </c>
      <c r="AF21" s="25">
        <f>+'St of Net Assets - GA'!W21-'St of Activities - GA Exp'!AE21</f>
        <v>-1</v>
      </c>
      <c r="AG21" s="28"/>
    </row>
    <row r="22" spans="1:33" ht="12.75">
      <c r="A22" s="23" t="s">
        <v>181</v>
      </c>
      <c r="B22" s="24"/>
      <c r="C22" s="24">
        <v>20450571</v>
      </c>
      <c r="D22" s="24"/>
      <c r="E22" s="24">
        <v>10334965</v>
      </c>
      <c r="F22" s="24"/>
      <c r="G22" s="24">
        <v>27553415</v>
      </c>
      <c r="H22" s="24"/>
      <c r="I22" s="24">
        <v>11048933</v>
      </c>
      <c r="J22" s="24"/>
      <c r="K22" s="24">
        <v>1251054</v>
      </c>
      <c r="L22" s="24"/>
      <c r="M22" s="24">
        <v>36446576</v>
      </c>
      <c r="N22" s="24"/>
      <c r="O22" s="24">
        <f>1845833+1736672</f>
        <v>3582505</v>
      </c>
      <c r="P22" s="24"/>
      <c r="Q22" s="24">
        <v>0</v>
      </c>
      <c r="R22" s="24"/>
      <c r="S22" s="24">
        <v>2632145</v>
      </c>
      <c r="T22" s="24"/>
      <c r="U22" s="24">
        <v>0</v>
      </c>
      <c r="V22" s="24"/>
      <c r="W22" s="24">
        <v>1154711</v>
      </c>
      <c r="X22" s="24"/>
      <c r="Y22" s="24">
        <f t="shared" si="0"/>
        <v>114454875</v>
      </c>
      <c r="Z22" s="24"/>
      <c r="AA22" s="24">
        <v>7122407</v>
      </c>
      <c r="AB22" s="24"/>
      <c r="AC22" s="24">
        <v>205225265</v>
      </c>
      <c r="AD22" s="24"/>
      <c r="AE22" s="24">
        <f t="shared" si="1"/>
        <v>212347672</v>
      </c>
      <c r="AF22" s="25">
        <f>+'St of Net Assets - GA'!W22-'St of Activities - GA Exp'!AE22</f>
        <v>0</v>
      </c>
      <c r="AG22" s="28"/>
    </row>
    <row r="23" spans="1:33" ht="12.75">
      <c r="A23" s="23" t="s">
        <v>22</v>
      </c>
      <c r="B23" s="24"/>
      <c r="C23" s="24">
        <v>6001065</v>
      </c>
      <c r="D23" s="24"/>
      <c r="E23" s="24">
        <v>2309381</v>
      </c>
      <c r="F23" s="24"/>
      <c r="G23" s="24">
        <v>4377946</v>
      </c>
      <c r="H23" s="24"/>
      <c r="I23" s="24">
        <v>6159602</v>
      </c>
      <c r="J23" s="24"/>
      <c r="K23" s="24">
        <v>3920640</v>
      </c>
      <c r="L23" s="24"/>
      <c r="M23" s="24">
        <v>8515505</v>
      </c>
      <c r="N23" s="24"/>
      <c r="O23" s="24">
        <v>349811</v>
      </c>
      <c r="P23" s="24"/>
      <c r="Q23" s="24">
        <v>34082</v>
      </c>
      <c r="R23" s="24"/>
      <c r="S23" s="24">
        <v>682318</v>
      </c>
      <c r="T23" s="24"/>
      <c r="U23" s="24">
        <v>0</v>
      </c>
      <c r="V23" s="24"/>
      <c r="W23" s="24">
        <v>614111</v>
      </c>
      <c r="X23" s="24"/>
      <c r="Y23" s="24">
        <f t="shared" si="0"/>
        <v>32964461</v>
      </c>
      <c r="Z23" s="24"/>
      <c r="AA23" s="24">
        <v>7027294</v>
      </c>
      <c r="AB23" s="24"/>
      <c r="AC23" s="24">
        <v>46429597</v>
      </c>
      <c r="AD23" s="24"/>
      <c r="AE23" s="24">
        <f t="shared" si="1"/>
        <v>53456891</v>
      </c>
      <c r="AF23" s="25">
        <f>+'St of Net Assets - GA'!W23-'St of Activities - GA Exp'!AE23</f>
        <v>0</v>
      </c>
      <c r="AG23" s="28"/>
    </row>
    <row r="24" spans="1:33" ht="12.75" customHeight="1" hidden="1">
      <c r="A24" s="23" t="s">
        <v>23</v>
      </c>
      <c r="B24" s="24"/>
      <c r="C24" s="24"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0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v>0</v>
      </c>
      <c r="T24" s="24"/>
      <c r="U24" s="24">
        <v>0</v>
      </c>
      <c r="V24" s="24"/>
      <c r="W24" s="24">
        <v>0</v>
      </c>
      <c r="X24" s="24"/>
      <c r="Y24" s="24">
        <f t="shared" si="0"/>
        <v>0</v>
      </c>
      <c r="Z24" s="24"/>
      <c r="AA24" s="24">
        <v>0</v>
      </c>
      <c r="AB24" s="24"/>
      <c r="AC24" s="24">
        <v>0</v>
      </c>
      <c r="AD24" s="24"/>
      <c r="AE24" s="24">
        <f t="shared" si="1"/>
        <v>0</v>
      </c>
      <c r="AF24" s="25">
        <f>+'St of Net Assets - GA'!W24-'St of Activities - GA Exp'!AE24</f>
        <v>0</v>
      </c>
      <c r="AG24" s="28"/>
    </row>
    <row r="25" spans="1:33" ht="12.75">
      <c r="A25" s="23" t="s">
        <v>24</v>
      </c>
      <c r="B25" s="24"/>
      <c r="C25" s="24">
        <v>3839913</v>
      </c>
      <c r="D25" s="24"/>
      <c r="E25" s="24">
        <v>1538541</v>
      </c>
      <c r="F25" s="24"/>
      <c r="G25" s="24">
        <v>5559010</v>
      </c>
      <c r="H25" s="24"/>
      <c r="I25" s="24">
        <v>1578806</v>
      </c>
      <c r="J25" s="24"/>
      <c r="K25" s="24">
        <v>6392440</v>
      </c>
      <c r="L25" s="24"/>
      <c r="M25" s="24">
        <v>11006377</v>
      </c>
      <c r="N25" s="24"/>
      <c r="O25" s="24">
        <v>0</v>
      </c>
      <c r="P25" s="24"/>
      <c r="Q25" s="24">
        <v>414459</v>
      </c>
      <c r="R25" s="24"/>
      <c r="S25" s="24">
        <v>366525</v>
      </c>
      <c r="T25" s="24"/>
      <c r="U25" s="24">
        <v>0</v>
      </c>
      <c r="V25" s="24"/>
      <c r="W25" s="24">
        <v>245258</v>
      </c>
      <c r="X25" s="24"/>
      <c r="Y25" s="24">
        <f t="shared" si="0"/>
        <v>30941329</v>
      </c>
      <c r="Z25" s="24"/>
      <c r="AA25" s="24">
        <v>5546932</v>
      </c>
      <c r="AB25" s="24"/>
      <c r="AC25" s="24">
        <v>34248494</v>
      </c>
      <c r="AD25" s="24"/>
      <c r="AE25" s="24">
        <f t="shared" si="1"/>
        <v>39795426</v>
      </c>
      <c r="AF25" s="25">
        <f>+'St of Net Assets - GA'!W25-'St of Activities - GA Exp'!AE25</f>
        <v>0</v>
      </c>
      <c r="AG25" s="28"/>
    </row>
    <row r="26" spans="1:33" ht="12.75">
      <c r="A26" s="23" t="s">
        <v>179</v>
      </c>
      <c r="B26" s="24"/>
      <c r="C26" s="24">
        <v>4064233</v>
      </c>
      <c r="D26" s="24"/>
      <c r="E26" s="24">
        <v>2105455</v>
      </c>
      <c r="F26" s="24"/>
      <c r="G26" s="24">
        <f>2277125+3431062</f>
        <v>5708187</v>
      </c>
      <c r="H26" s="24"/>
      <c r="I26" s="24">
        <v>4344607</v>
      </c>
      <c r="J26" s="24"/>
      <c r="K26" s="24">
        <f>3716048+1064754</f>
        <v>4780802</v>
      </c>
      <c r="L26" s="24"/>
      <c r="M26" s="24">
        <f>2381271+1901425+6642540+1728602</f>
        <v>12653838</v>
      </c>
      <c r="N26" s="24"/>
      <c r="O26" s="24">
        <v>67908</v>
      </c>
      <c r="P26" s="24"/>
      <c r="Q26" s="24">
        <v>0</v>
      </c>
      <c r="R26" s="24"/>
      <c r="S26" s="24">
        <v>0</v>
      </c>
      <c r="T26" s="24"/>
      <c r="U26" s="24">
        <v>489447</v>
      </c>
      <c r="V26" s="24"/>
      <c r="W26" s="24">
        <v>308362</v>
      </c>
      <c r="X26" s="24"/>
      <c r="Y26" s="24">
        <f t="shared" si="0"/>
        <v>34522839</v>
      </c>
      <c r="Z26" s="24"/>
      <c r="AA26" s="24">
        <v>1222865</v>
      </c>
      <c r="AB26" s="24"/>
      <c r="AC26" s="24">
        <v>51889534</v>
      </c>
      <c r="AD26" s="24"/>
      <c r="AE26" s="24">
        <f t="shared" si="1"/>
        <v>53112399</v>
      </c>
      <c r="AF26" s="25">
        <f>+'St of Net Assets - GA'!W26-'St of Activities - GA Exp'!AE26</f>
        <v>0</v>
      </c>
      <c r="AG26" s="28"/>
    </row>
    <row r="27" spans="1:33" ht="12.75">
      <c r="A27" s="23" t="s">
        <v>25</v>
      </c>
      <c r="B27" s="24"/>
      <c r="C27" s="24">
        <f>78762*1000</f>
        <v>78762000</v>
      </c>
      <c r="D27" s="24"/>
      <c r="E27" s="24">
        <f>352464*1000</f>
        <v>352464000</v>
      </c>
      <c r="F27" s="24"/>
      <c r="G27" s="24">
        <v>0</v>
      </c>
      <c r="H27" s="24"/>
      <c r="I27" s="24">
        <f>64106*1000</f>
        <v>64106000</v>
      </c>
      <c r="J27" s="24"/>
      <c r="K27" s="24">
        <f>207536*1000</f>
        <v>207536000</v>
      </c>
      <c r="L27" s="24"/>
      <c r="M27" s="24">
        <f>651916*1000</f>
        <v>651916000</v>
      </c>
      <c r="N27" s="24"/>
      <c r="O27" s="24">
        <f>41891*1000</f>
        <v>41891000</v>
      </c>
      <c r="P27" s="24"/>
      <c r="Q27" s="24">
        <v>0</v>
      </c>
      <c r="R27" s="24"/>
      <c r="S27" s="24">
        <v>0</v>
      </c>
      <c r="T27" s="24"/>
      <c r="U27" s="24">
        <v>0</v>
      </c>
      <c r="V27" s="24"/>
      <c r="W27" s="24">
        <f>15208*1000</f>
        <v>15208000</v>
      </c>
      <c r="X27" s="24"/>
      <c r="Y27" s="24">
        <f>SUM(C27:W27)</f>
        <v>1411883000</v>
      </c>
      <c r="Z27" s="24"/>
      <c r="AA27" s="24">
        <f>92508*1000</f>
        <v>92508000</v>
      </c>
      <c r="AB27" s="24"/>
      <c r="AC27" s="24">
        <f>726212*1000</f>
        <v>726212000</v>
      </c>
      <c r="AD27" s="24"/>
      <c r="AE27" s="24">
        <f t="shared" si="1"/>
        <v>818720000</v>
      </c>
      <c r="AF27" s="25">
        <f>+'St of Net Assets - GA'!W27-'St of Activities - GA Exp'!AE27</f>
        <v>0</v>
      </c>
      <c r="AG27" s="28"/>
    </row>
    <row r="28" spans="1:33" ht="12.75">
      <c r="A28" s="23" t="s">
        <v>26</v>
      </c>
      <c r="B28" s="24"/>
      <c r="C28" s="24">
        <v>7583552</v>
      </c>
      <c r="D28" s="24"/>
      <c r="E28" s="24">
        <v>0</v>
      </c>
      <c r="F28" s="24"/>
      <c r="G28" s="24">
        <v>4684592</v>
      </c>
      <c r="H28" s="24"/>
      <c r="I28" s="24">
        <v>6384177</v>
      </c>
      <c r="J28" s="24"/>
      <c r="K28" s="24">
        <v>271625</v>
      </c>
      <c r="L28" s="24"/>
      <c r="M28" s="24">
        <v>13948111</v>
      </c>
      <c r="N28" s="24"/>
      <c r="O28" s="24">
        <v>913076</v>
      </c>
      <c r="P28" s="24"/>
      <c r="Q28" s="24">
        <v>0</v>
      </c>
      <c r="R28" s="24"/>
      <c r="S28" s="24">
        <v>0</v>
      </c>
      <c r="T28" s="24"/>
      <c r="U28" s="24">
        <v>0</v>
      </c>
      <c r="V28" s="24"/>
      <c r="W28" s="24">
        <v>456285</v>
      </c>
      <c r="X28" s="24"/>
      <c r="Y28" s="24">
        <f t="shared" si="0"/>
        <v>34241418</v>
      </c>
      <c r="Z28" s="24"/>
      <c r="AA28" s="24">
        <v>4009961</v>
      </c>
      <c r="AB28" s="24"/>
      <c r="AC28" s="24">
        <v>91666893</v>
      </c>
      <c r="AD28" s="24"/>
      <c r="AE28" s="24">
        <f t="shared" si="1"/>
        <v>95676854</v>
      </c>
      <c r="AF28" s="25">
        <f>+'St of Net Assets - GA'!W28-'St of Activities - GA Exp'!AE28</f>
        <v>0</v>
      </c>
      <c r="AG28" s="28"/>
    </row>
    <row r="29" spans="1:33" ht="12.75">
      <c r="A29" s="23" t="s">
        <v>27</v>
      </c>
      <c r="B29" s="24"/>
      <c r="C29" s="24">
        <v>5592531</v>
      </c>
      <c r="D29" s="24"/>
      <c r="E29" s="24">
        <v>1569378</v>
      </c>
      <c r="F29" s="24"/>
      <c r="G29" s="24">
        <v>3941297</v>
      </c>
      <c r="H29" s="24"/>
      <c r="I29" s="24">
        <v>4479790</v>
      </c>
      <c r="J29" s="24"/>
      <c r="K29" s="24">
        <v>4657947</v>
      </c>
      <c r="L29" s="24"/>
      <c r="M29" s="24">
        <v>7077294</v>
      </c>
      <c r="N29" s="24"/>
      <c r="O29" s="24">
        <v>385042</v>
      </c>
      <c r="P29" s="24"/>
      <c r="Q29" s="24">
        <v>5755</v>
      </c>
      <c r="R29" s="24"/>
      <c r="S29" s="24">
        <v>0</v>
      </c>
      <c r="T29" s="24"/>
      <c r="U29" s="24">
        <v>0</v>
      </c>
      <c r="V29" s="24"/>
      <c r="W29" s="24">
        <v>284469</v>
      </c>
      <c r="X29" s="24"/>
      <c r="Y29" s="24">
        <f aca="true" t="shared" si="2" ref="Y29:Y93">SUM(C29:W29)</f>
        <v>27993503</v>
      </c>
      <c r="Z29" s="24"/>
      <c r="AA29" s="24">
        <v>4701183</v>
      </c>
      <c r="AB29" s="24"/>
      <c r="AC29" s="24">
        <v>79547215</v>
      </c>
      <c r="AD29" s="24"/>
      <c r="AE29" s="24">
        <f aca="true" t="shared" si="3" ref="AE29:AE44">+AC29+AA29</f>
        <v>84248398</v>
      </c>
      <c r="AF29" s="25">
        <f>+'St of Net Assets - GA'!W29-'St of Activities - GA Exp'!AE29</f>
        <v>0</v>
      </c>
      <c r="AG29" s="28"/>
    </row>
    <row r="30" spans="1:33" ht="12.75">
      <c r="A30" s="23" t="s">
        <v>28</v>
      </c>
      <c r="B30" s="24"/>
      <c r="C30" s="24">
        <v>15460737</v>
      </c>
      <c r="D30" s="24"/>
      <c r="E30" s="24">
        <v>7377788</v>
      </c>
      <c r="F30" s="24"/>
      <c r="G30" s="24">
        <f>3445415+8923060+13570534+3786874</f>
        <v>29725883</v>
      </c>
      <c r="H30" s="24"/>
      <c r="I30" s="24">
        <v>15518457</v>
      </c>
      <c r="J30" s="24"/>
      <c r="K30" s="24">
        <v>13791652</v>
      </c>
      <c r="L30" s="24"/>
      <c r="M30" s="24">
        <f>8087447+1560614+2375601+319179</f>
        <v>12342841</v>
      </c>
      <c r="N30" s="24"/>
      <c r="O30" s="24">
        <v>0</v>
      </c>
      <c r="P30" s="24"/>
      <c r="Q30" s="24">
        <v>0</v>
      </c>
      <c r="R30" s="24"/>
      <c r="S30" s="24">
        <v>0</v>
      </c>
      <c r="T30" s="24"/>
      <c r="U30" s="24">
        <f>5000+275000+347715</f>
        <v>627715</v>
      </c>
      <c r="V30" s="24"/>
      <c r="W30" s="24">
        <v>2109891</v>
      </c>
      <c r="X30" s="24"/>
      <c r="Y30" s="24">
        <f t="shared" si="2"/>
        <v>96954964</v>
      </c>
      <c r="Z30" s="24"/>
      <c r="AA30" s="24">
        <v>25743171</v>
      </c>
      <c r="AB30" s="24"/>
      <c r="AC30" s="24">
        <v>181913988</v>
      </c>
      <c r="AD30" s="24"/>
      <c r="AE30" s="24">
        <f t="shared" si="3"/>
        <v>207657159</v>
      </c>
      <c r="AF30" s="25">
        <f>+'St of Net Assets - GA'!W30-'St of Activities - GA Exp'!AE30</f>
        <v>0</v>
      </c>
      <c r="AG30" s="28"/>
    </row>
    <row r="31" spans="1:33" ht="12.75">
      <c r="A31" s="23" t="s">
        <v>29</v>
      </c>
      <c r="B31" s="24"/>
      <c r="C31" s="24">
        <v>12892053</v>
      </c>
      <c r="D31" s="24"/>
      <c r="E31" s="24">
        <v>6750016</v>
      </c>
      <c r="F31" s="24"/>
      <c r="G31" s="24">
        <v>10100603</v>
      </c>
      <c r="H31" s="24"/>
      <c r="I31" s="24">
        <v>5478712</v>
      </c>
      <c r="J31" s="24"/>
      <c r="K31" s="24">
        <v>7241337</v>
      </c>
      <c r="L31" s="24"/>
      <c r="M31" s="24">
        <v>16036199</v>
      </c>
      <c r="N31" s="24"/>
      <c r="O31" s="24">
        <v>654703</v>
      </c>
      <c r="P31" s="24"/>
      <c r="Q31" s="24">
        <v>0</v>
      </c>
      <c r="R31" s="24"/>
      <c r="S31" s="24">
        <v>388808</v>
      </c>
      <c r="T31" s="24"/>
      <c r="U31" s="24">
        <v>0</v>
      </c>
      <c r="V31" s="24"/>
      <c r="W31" s="24">
        <v>648167</v>
      </c>
      <c r="X31" s="24"/>
      <c r="Y31" s="24">
        <f t="shared" si="2"/>
        <v>60190598</v>
      </c>
      <c r="Z31" s="24"/>
      <c r="AA31" s="24">
        <v>5162530</v>
      </c>
      <c r="AB31" s="24"/>
      <c r="AC31" s="24">
        <v>72394660</v>
      </c>
      <c r="AD31" s="24"/>
      <c r="AE31" s="24">
        <f t="shared" si="3"/>
        <v>77557190</v>
      </c>
      <c r="AF31" s="25">
        <f>+'St of Net Assets - GA'!W31-'St of Activities - GA Exp'!AE31</f>
        <v>0</v>
      </c>
      <c r="AG31" s="28"/>
    </row>
    <row r="32" spans="1:33" ht="12.75">
      <c r="A32" s="23" t="s">
        <v>30</v>
      </c>
      <c r="B32" s="24"/>
      <c r="C32" s="24">
        <f>11025250+1663570</f>
        <v>12688820</v>
      </c>
      <c r="D32" s="24"/>
      <c r="E32" s="24">
        <v>5231509</v>
      </c>
      <c r="F32" s="24"/>
      <c r="G32" s="24">
        <f>13779703+76173</f>
        <v>13855876</v>
      </c>
      <c r="H32" s="24"/>
      <c r="I32" s="24">
        <v>11069718</v>
      </c>
      <c r="J32" s="24"/>
      <c r="K32" s="24">
        <v>22645962</v>
      </c>
      <c r="L32" s="24"/>
      <c r="M32" s="24">
        <v>26104959</v>
      </c>
      <c r="N32" s="24"/>
      <c r="O32" s="24">
        <f>309404+360171</f>
        <v>669575</v>
      </c>
      <c r="P32" s="24"/>
      <c r="Q32" s="24">
        <v>0</v>
      </c>
      <c r="R32" s="24"/>
      <c r="S32" s="24">
        <v>271899</v>
      </c>
      <c r="T32" s="24"/>
      <c r="U32" s="24">
        <v>0</v>
      </c>
      <c r="V32" s="24"/>
      <c r="W32" s="24">
        <v>1102165</v>
      </c>
      <c r="X32" s="24"/>
      <c r="Y32" s="24">
        <f t="shared" si="2"/>
        <v>93640483</v>
      </c>
      <c r="Z32" s="24"/>
      <c r="AA32" s="24">
        <v>3959321</v>
      </c>
      <c r="AB32" s="24"/>
      <c r="AC32" s="24">
        <v>217544289</v>
      </c>
      <c r="AD32" s="24"/>
      <c r="AE32" s="24">
        <f t="shared" si="3"/>
        <v>221503610</v>
      </c>
      <c r="AF32" s="25">
        <f>+'St of Net Assets - GA'!W32-'St of Activities - GA Exp'!AE32</f>
        <v>0</v>
      </c>
      <c r="AG32" s="28"/>
    </row>
    <row r="33" spans="1:33" ht="12.75" hidden="1">
      <c r="A33" s="23" t="s">
        <v>239</v>
      </c>
      <c r="B33" s="24"/>
      <c r="C33" s="24">
        <v>0</v>
      </c>
      <c r="D33" s="24"/>
      <c r="E33" s="24">
        <v>0</v>
      </c>
      <c r="F33" s="24"/>
      <c r="G33" s="24">
        <v>0</v>
      </c>
      <c r="H33" s="24"/>
      <c r="I33" s="24">
        <v>0</v>
      </c>
      <c r="J33" s="24"/>
      <c r="K33" s="24"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v>0</v>
      </c>
      <c r="T33" s="24"/>
      <c r="U33" s="24">
        <v>0</v>
      </c>
      <c r="V33" s="24"/>
      <c r="W33" s="24">
        <v>0</v>
      </c>
      <c r="X33" s="24"/>
      <c r="Y33" s="24">
        <f t="shared" si="2"/>
        <v>0</v>
      </c>
      <c r="Z33" s="24"/>
      <c r="AA33" s="24">
        <v>0</v>
      </c>
      <c r="AB33" s="24"/>
      <c r="AC33" s="24">
        <v>0</v>
      </c>
      <c r="AD33" s="24"/>
      <c r="AE33" s="24">
        <f t="shared" si="3"/>
        <v>0</v>
      </c>
      <c r="AF33" s="25">
        <f>+'St of Net Assets - GA'!W33-'St of Activities - GA Exp'!AE33</f>
        <v>0</v>
      </c>
      <c r="AG33" s="28"/>
    </row>
    <row r="34" spans="1:33" ht="12.75">
      <c r="A34" s="23" t="s">
        <v>32</v>
      </c>
      <c r="B34" s="24"/>
      <c r="C34" s="24">
        <f>105147*1000</f>
        <v>105147000</v>
      </c>
      <c r="D34" s="24"/>
      <c r="E34" s="24">
        <f>66493*1000</f>
        <v>66493000</v>
      </c>
      <c r="F34" s="24"/>
      <c r="G34" s="24">
        <f>131384*1000</f>
        <v>131384000</v>
      </c>
      <c r="H34" s="24"/>
      <c r="I34" s="24">
        <f>63312*1000</f>
        <v>63312000</v>
      </c>
      <c r="J34" s="24"/>
      <c r="K34" s="24">
        <f>305114*1000</f>
        <v>305114000</v>
      </c>
      <c r="L34" s="24"/>
      <c r="M34" s="24">
        <f>369831*1000</f>
        <v>369831000</v>
      </c>
      <c r="N34" s="24"/>
      <c r="O34" s="24">
        <f>5299*1000</f>
        <v>5299000</v>
      </c>
      <c r="P34" s="24"/>
      <c r="Q34" s="24">
        <f>20537*1000</f>
        <v>20537000</v>
      </c>
      <c r="R34" s="24"/>
      <c r="S34" s="24">
        <v>0</v>
      </c>
      <c r="T34" s="24"/>
      <c r="U34" s="24">
        <v>0</v>
      </c>
      <c r="V34" s="24"/>
      <c r="W34" s="24">
        <f>9697*1000</f>
        <v>9697000</v>
      </c>
      <c r="X34" s="24"/>
      <c r="Y34" s="24">
        <f t="shared" si="2"/>
        <v>1076814000</v>
      </c>
      <c r="Z34" s="24"/>
      <c r="AA34" s="24">
        <f>149094*1000</f>
        <v>149094000</v>
      </c>
      <c r="AB34" s="24"/>
      <c r="AC34" s="24">
        <f>912839*1000</f>
        <v>912839000</v>
      </c>
      <c r="AD34" s="24"/>
      <c r="AE34" s="24">
        <f t="shared" si="3"/>
        <v>1061933000</v>
      </c>
      <c r="AF34" s="25">
        <f>+'St of Net Assets - GA'!W34-'St of Activities - GA Exp'!AE34</f>
        <v>0</v>
      </c>
      <c r="AG34" s="28"/>
    </row>
    <row r="35" spans="1:33" ht="12.75">
      <c r="A35" s="23" t="s">
        <v>33</v>
      </c>
      <c r="B35" s="24"/>
      <c r="C35" s="24">
        <v>6676194</v>
      </c>
      <c r="D35" s="24"/>
      <c r="E35" s="24">
        <v>1681566</v>
      </c>
      <c r="F35" s="24"/>
      <c r="G35" s="24">
        <v>6180756</v>
      </c>
      <c r="H35" s="24"/>
      <c r="I35" s="24">
        <v>4728823</v>
      </c>
      <c r="J35" s="24"/>
      <c r="K35" s="24">
        <v>1298848</v>
      </c>
      <c r="L35" s="24"/>
      <c r="M35" s="24">
        <v>10218350</v>
      </c>
      <c r="N35" s="24"/>
      <c r="O35" s="24">
        <v>1087633</v>
      </c>
      <c r="P35" s="24"/>
      <c r="Q35" s="24">
        <v>0</v>
      </c>
      <c r="R35" s="24"/>
      <c r="S35" s="24">
        <v>86667</v>
      </c>
      <c r="T35" s="24"/>
      <c r="U35" s="24">
        <v>1044589</v>
      </c>
      <c r="V35" s="24"/>
      <c r="W35" s="24">
        <v>65794</v>
      </c>
      <c r="X35" s="24"/>
      <c r="Y35" s="24">
        <f t="shared" si="2"/>
        <v>33069220</v>
      </c>
      <c r="Z35" s="24"/>
      <c r="AA35" s="24">
        <v>3163740</v>
      </c>
      <c r="AB35" s="24"/>
      <c r="AC35" s="24">
        <v>60396866</v>
      </c>
      <c r="AD35" s="24"/>
      <c r="AE35" s="24">
        <f t="shared" si="3"/>
        <v>63560606</v>
      </c>
      <c r="AF35" s="25">
        <f>+'St of Net Assets - GA'!W35-'St of Activities - GA Exp'!AE35</f>
        <v>0</v>
      </c>
      <c r="AG35" s="28"/>
    </row>
    <row r="36" spans="1:33" ht="12.75">
      <c r="A36" s="23" t="s">
        <v>34</v>
      </c>
      <c r="B36" s="24"/>
      <c r="C36" s="24">
        <v>3357807</v>
      </c>
      <c r="D36" s="24"/>
      <c r="E36" s="24">
        <v>1322966</v>
      </c>
      <c r="F36" s="24"/>
      <c r="G36" s="24">
        <v>4684697</v>
      </c>
      <c r="H36" s="24"/>
      <c r="I36" s="24">
        <v>6235378</v>
      </c>
      <c r="J36" s="24"/>
      <c r="K36" s="24">
        <v>2696039</v>
      </c>
      <c r="L36" s="24"/>
      <c r="M36" s="24">
        <v>9736213</v>
      </c>
      <c r="N36" s="24"/>
      <c r="O36" s="24">
        <v>492333</v>
      </c>
      <c r="P36" s="24"/>
      <c r="Q36" s="24">
        <v>141218</v>
      </c>
      <c r="R36" s="24"/>
      <c r="S36" s="24">
        <v>436655</v>
      </c>
      <c r="T36" s="24"/>
      <c r="U36" s="24">
        <v>0</v>
      </c>
      <c r="V36" s="24"/>
      <c r="W36" s="24">
        <v>115328</v>
      </c>
      <c r="X36" s="24"/>
      <c r="Y36" s="24">
        <f t="shared" si="2"/>
        <v>29218634</v>
      </c>
      <c r="Z36" s="24"/>
      <c r="AA36" s="24">
        <v>-1890007</v>
      </c>
      <c r="AB36" s="24"/>
      <c r="AC36" s="24">
        <v>27845150</v>
      </c>
      <c r="AD36" s="24"/>
      <c r="AE36" s="24">
        <f t="shared" si="3"/>
        <v>25955143</v>
      </c>
      <c r="AF36" s="25">
        <f>+'St of Net Assets - GA'!W36-'St of Activities - GA Exp'!AE36</f>
        <v>0</v>
      </c>
      <c r="AG36" s="28"/>
    </row>
    <row r="37" spans="1:33" ht="12.75">
      <c r="A37" s="23" t="s">
        <v>35</v>
      </c>
      <c r="B37" s="24"/>
      <c r="C37" s="24">
        <v>14348531</v>
      </c>
      <c r="D37" s="24"/>
      <c r="E37" s="24">
        <v>3710704</v>
      </c>
      <c r="F37" s="24"/>
      <c r="G37" s="24">
        <v>13750068</v>
      </c>
      <c r="H37" s="24"/>
      <c r="I37" s="24">
        <v>5937919</v>
      </c>
      <c r="J37" s="24"/>
      <c r="K37" s="24">
        <v>7548462</v>
      </c>
      <c r="L37" s="24"/>
      <c r="M37" s="24">
        <v>31008766</v>
      </c>
      <c r="N37" s="24"/>
      <c r="O37" s="24">
        <v>1521997</v>
      </c>
      <c r="P37" s="24"/>
      <c r="Q37" s="24">
        <v>0</v>
      </c>
      <c r="R37" s="24"/>
      <c r="S37" s="24">
        <v>0</v>
      </c>
      <c r="T37" s="24"/>
      <c r="U37" s="24">
        <v>0</v>
      </c>
      <c r="V37" s="24"/>
      <c r="W37" s="24">
        <v>634808</v>
      </c>
      <c r="X37" s="24"/>
      <c r="Y37" s="24">
        <f t="shared" si="2"/>
        <v>78461255</v>
      </c>
      <c r="Z37" s="24"/>
      <c r="AA37" s="24">
        <v>7103598</v>
      </c>
      <c r="AB37" s="24"/>
      <c r="AC37" s="24">
        <v>189289216</v>
      </c>
      <c r="AD37" s="24"/>
      <c r="AE37" s="24">
        <f t="shared" si="3"/>
        <v>196392814</v>
      </c>
      <c r="AF37" s="25">
        <f>+'St of Net Assets - GA'!W37-'St of Activities - GA Exp'!AE37</f>
        <v>0</v>
      </c>
      <c r="AG37" s="28"/>
    </row>
    <row r="38" spans="1:33" ht="12.75">
      <c r="A38" s="23" t="s">
        <v>182</v>
      </c>
      <c r="B38" s="24"/>
      <c r="C38" s="24">
        <v>18216305</v>
      </c>
      <c r="D38" s="24"/>
      <c r="E38" s="24">
        <v>7767052</v>
      </c>
      <c r="F38" s="24"/>
      <c r="G38" s="24">
        <v>21030463</v>
      </c>
      <c r="H38" s="24"/>
      <c r="I38" s="24">
        <v>8615448</v>
      </c>
      <c r="J38" s="24"/>
      <c r="K38" s="24">
        <v>18182111</v>
      </c>
      <c r="L38" s="24"/>
      <c r="M38" s="24">
        <v>33845797</v>
      </c>
      <c r="N38" s="24"/>
      <c r="O38" s="24">
        <v>3214892</v>
      </c>
      <c r="P38" s="24"/>
      <c r="Q38" s="24">
        <v>2890292</v>
      </c>
      <c r="R38" s="24"/>
      <c r="S38" s="24">
        <v>0</v>
      </c>
      <c r="T38" s="24"/>
      <c r="U38" s="24">
        <v>0</v>
      </c>
      <c r="V38" s="24"/>
      <c r="W38" s="24">
        <v>1207623</v>
      </c>
      <c r="X38" s="24"/>
      <c r="Y38" s="24">
        <f t="shared" si="2"/>
        <v>114969983</v>
      </c>
      <c r="Z38" s="24"/>
      <c r="AA38" s="24">
        <v>8918157</v>
      </c>
      <c r="AB38" s="24"/>
      <c r="AC38" s="24">
        <v>178666173</v>
      </c>
      <c r="AD38" s="24"/>
      <c r="AE38" s="24">
        <f t="shared" si="3"/>
        <v>187584330</v>
      </c>
      <c r="AF38" s="25">
        <f>+'St of Net Assets - GA'!W38-'St of Activities - GA Exp'!AE38</f>
        <v>0</v>
      </c>
      <c r="AG38" s="28"/>
    </row>
    <row r="39" spans="1:33" ht="12.75" hidden="1">
      <c r="A39" s="23" t="s">
        <v>244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>
        <f t="shared" si="2"/>
        <v>0</v>
      </c>
      <c r="Z39" s="24"/>
      <c r="AA39" s="24"/>
      <c r="AB39" s="24"/>
      <c r="AC39" s="24"/>
      <c r="AD39" s="24"/>
      <c r="AE39" s="24">
        <f t="shared" si="3"/>
        <v>0</v>
      </c>
      <c r="AF39" s="25">
        <f>+'St of Net Assets - GA'!W39-'St of Activities - GA Exp'!AE39</f>
        <v>0</v>
      </c>
      <c r="AG39" s="28"/>
    </row>
    <row r="40" spans="1:33" ht="12.75">
      <c r="A40" s="23" t="s">
        <v>37</v>
      </c>
      <c r="B40" s="24"/>
      <c r="C40" s="24">
        <v>87135000</v>
      </c>
      <c r="D40" s="24"/>
      <c r="E40" s="24">
        <v>121655000</v>
      </c>
      <c r="F40" s="24"/>
      <c r="G40" s="24">
        <v>122741000</v>
      </c>
      <c r="H40" s="24"/>
      <c r="I40" s="24">
        <v>46450000</v>
      </c>
      <c r="J40" s="24"/>
      <c r="K40" s="24">
        <v>240780000</v>
      </c>
      <c r="L40" s="24"/>
      <c r="M40" s="24">
        <v>349660000</v>
      </c>
      <c r="N40" s="24"/>
      <c r="O40" s="24">
        <v>5679000</v>
      </c>
      <c r="P40" s="24"/>
      <c r="Q40" s="24">
        <f>5404000+7372000</f>
        <v>12776000</v>
      </c>
      <c r="R40" s="24"/>
      <c r="S40" s="24">
        <f>1458000-17942000</f>
        <v>-16484000</v>
      </c>
      <c r="T40" s="24"/>
      <c r="U40" s="24">
        <v>0</v>
      </c>
      <c r="V40" s="24"/>
      <c r="W40" s="24">
        <f>4895000+64000</f>
        <v>4959000</v>
      </c>
      <c r="X40" s="24"/>
      <c r="Y40" s="24">
        <f t="shared" si="2"/>
        <v>975351000</v>
      </c>
      <c r="Z40" s="24"/>
      <c r="AA40" s="24">
        <v>8474000</v>
      </c>
      <c r="AB40" s="24"/>
      <c r="AC40" s="24">
        <v>667994000</v>
      </c>
      <c r="AD40" s="24"/>
      <c r="AE40" s="24">
        <f t="shared" si="3"/>
        <v>676468000</v>
      </c>
      <c r="AF40" s="25">
        <f>+'St of Net Assets - GA'!W40-'St of Activities - GA Exp'!AE40</f>
        <v>0</v>
      </c>
      <c r="AG40" s="28"/>
    </row>
    <row r="41" spans="1:33" ht="12.75">
      <c r="A41" s="23" t="s">
        <v>38</v>
      </c>
      <c r="B41" s="24"/>
      <c r="C41" s="24">
        <v>7278060</v>
      </c>
      <c r="D41" s="24"/>
      <c r="E41" s="24">
        <v>3463496</v>
      </c>
      <c r="F41" s="24"/>
      <c r="G41" s="24">
        <v>7659978</v>
      </c>
      <c r="H41" s="24"/>
      <c r="I41" s="24">
        <f>7021520+3674280</f>
        <v>10695800</v>
      </c>
      <c r="J41" s="24"/>
      <c r="K41" s="24">
        <f>5780460+11661562+921648</f>
        <v>18363670</v>
      </c>
      <c r="L41" s="24"/>
      <c r="M41" s="24">
        <f>7010979+4234668</f>
        <v>11245647</v>
      </c>
      <c r="N41" s="24"/>
      <c r="O41" s="24">
        <v>291615</v>
      </c>
      <c r="P41" s="24"/>
      <c r="Q41" s="24">
        <v>426057</v>
      </c>
      <c r="R41" s="24"/>
      <c r="S41" s="24">
        <v>0</v>
      </c>
      <c r="T41" s="24"/>
      <c r="U41" s="24">
        <v>0</v>
      </c>
      <c r="V41" s="24"/>
      <c r="W41" s="24">
        <v>774508</v>
      </c>
      <c r="X41" s="24"/>
      <c r="Y41" s="24">
        <f>SUM(C41:W41)</f>
        <v>60198831</v>
      </c>
      <c r="Z41" s="24"/>
      <c r="AA41" s="24">
        <v>13471223</v>
      </c>
      <c r="AB41" s="24"/>
      <c r="AC41" s="24">
        <v>100454623</v>
      </c>
      <c r="AD41" s="24"/>
      <c r="AE41" s="24">
        <f t="shared" si="3"/>
        <v>113925846</v>
      </c>
      <c r="AF41" s="25">
        <f>+'St of Net Assets - GA'!W41-'St of Activities - GA Exp'!AE41</f>
        <v>0</v>
      </c>
      <c r="AG41" s="28"/>
    </row>
    <row r="42" spans="1:33" ht="12.75" hidden="1">
      <c r="A42" s="23" t="s">
        <v>168</v>
      </c>
      <c r="B42" s="24"/>
      <c r="C42" s="24"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24"/>
      <c r="K42" s="24"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v>0</v>
      </c>
      <c r="T42" s="24"/>
      <c r="U42" s="24">
        <v>0</v>
      </c>
      <c r="V42" s="24"/>
      <c r="W42" s="24">
        <v>0</v>
      </c>
      <c r="X42" s="24"/>
      <c r="Y42" s="24">
        <f t="shared" si="2"/>
        <v>0</v>
      </c>
      <c r="Z42" s="24"/>
      <c r="AA42" s="24">
        <v>0</v>
      </c>
      <c r="AB42" s="24"/>
      <c r="AC42" s="24">
        <v>0</v>
      </c>
      <c r="AD42" s="24"/>
      <c r="AE42" s="24">
        <f t="shared" si="3"/>
        <v>0</v>
      </c>
      <c r="AF42" s="25">
        <f>+'St of Net Assets - GA'!W42-'St of Activities - GA Exp'!AE42</f>
        <v>0</v>
      </c>
      <c r="AG42" s="28"/>
    </row>
    <row r="43" spans="1:33" ht="12.75" hidden="1">
      <c r="A43" s="23" t="s">
        <v>39</v>
      </c>
      <c r="B43" s="24"/>
      <c r="C43" s="24">
        <v>0</v>
      </c>
      <c r="D43" s="24"/>
      <c r="E43" s="24">
        <v>0</v>
      </c>
      <c r="F43" s="24"/>
      <c r="G43" s="24">
        <v>0</v>
      </c>
      <c r="H43" s="24"/>
      <c r="I43" s="24">
        <v>0</v>
      </c>
      <c r="J43" s="24"/>
      <c r="K43" s="24">
        <v>0</v>
      </c>
      <c r="L43" s="24"/>
      <c r="M43" s="24">
        <v>0</v>
      </c>
      <c r="N43" s="24"/>
      <c r="O43" s="24">
        <v>0</v>
      </c>
      <c r="P43" s="24"/>
      <c r="Q43" s="24">
        <v>0</v>
      </c>
      <c r="R43" s="24"/>
      <c r="S43" s="24">
        <v>0</v>
      </c>
      <c r="T43" s="24"/>
      <c r="U43" s="24">
        <v>0</v>
      </c>
      <c r="V43" s="24"/>
      <c r="W43" s="24">
        <v>0</v>
      </c>
      <c r="X43" s="24"/>
      <c r="Y43" s="24">
        <f t="shared" si="2"/>
        <v>0</v>
      </c>
      <c r="Z43" s="24"/>
      <c r="AA43" s="24">
        <v>0</v>
      </c>
      <c r="AB43" s="24"/>
      <c r="AC43" s="24">
        <v>0</v>
      </c>
      <c r="AD43" s="24"/>
      <c r="AE43" s="24">
        <f t="shared" si="3"/>
        <v>0</v>
      </c>
      <c r="AF43" s="25">
        <f>+'St of Net Assets - GA'!W43-'St of Activities - GA Exp'!AE43</f>
        <v>0</v>
      </c>
      <c r="AG43" s="28"/>
    </row>
    <row r="44" spans="1:33" ht="12.75">
      <c r="A44" s="23" t="s">
        <v>40</v>
      </c>
      <c r="B44" s="24"/>
      <c r="C44" s="24">
        <v>2944773</v>
      </c>
      <c r="D44" s="24"/>
      <c r="E44" s="24">
        <v>1098731</v>
      </c>
      <c r="F44" s="24"/>
      <c r="G44" s="24">
        <v>2249291</v>
      </c>
      <c r="H44" s="24"/>
      <c r="I44" s="24">
        <v>3933319</v>
      </c>
      <c r="J44" s="24"/>
      <c r="K44" s="24">
        <v>1827953</v>
      </c>
      <c r="L44" s="24"/>
      <c r="M44" s="24">
        <v>10866923</v>
      </c>
      <c r="N44" s="24"/>
      <c r="O44" s="24">
        <v>367804</v>
      </c>
      <c r="P44" s="24"/>
      <c r="Q44" s="24">
        <v>0</v>
      </c>
      <c r="R44" s="24"/>
      <c r="S44" s="24">
        <f>266150+691234</f>
        <v>957384</v>
      </c>
      <c r="T44" s="24"/>
      <c r="U44" s="24">
        <v>0</v>
      </c>
      <c r="V44" s="24"/>
      <c r="W44" s="24">
        <v>142199</v>
      </c>
      <c r="X44" s="24"/>
      <c r="Y44" s="24">
        <f t="shared" si="2"/>
        <v>24388377</v>
      </c>
      <c r="Z44" s="24"/>
      <c r="AA44" s="24">
        <v>2769655</v>
      </c>
      <c r="AB44" s="24"/>
      <c r="AC44" s="24">
        <v>48892734</v>
      </c>
      <c r="AD44" s="24"/>
      <c r="AE44" s="24">
        <f t="shared" si="3"/>
        <v>51662389</v>
      </c>
      <c r="AF44" s="25">
        <f>+'St of Net Assets - GA'!W44-'St of Activities - GA Exp'!AE44</f>
        <v>0</v>
      </c>
      <c r="AG44" s="28"/>
    </row>
    <row r="45" spans="1:33" ht="12.75" hidden="1">
      <c r="A45" s="23" t="s">
        <v>41</v>
      </c>
      <c r="B45" s="24"/>
      <c r="C45" s="24">
        <v>0</v>
      </c>
      <c r="D45" s="24"/>
      <c r="E45" s="24">
        <v>0</v>
      </c>
      <c r="F45" s="24"/>
      <c r="G45" s="24">
        <v>0</v>
      </c>
      <c r="H45" s="24"/>
      <c r="I45" s="24">
        <v>0</v>
      </c>
      <c r="J45" s="24"/>
      <c r="K45" s="24">
        <v>0</v>
      </c>
      <c r="L45" s="24"/>
      <c r="M45" s="24">
        <v>0</v>
      </c>
      <c r="N45" s="24"/>
      <c r="O45" s="24">
        <v>0</v>
      </c>
      <c r="P45" s="24"/>
      <c r="Q45" s="24">
        <v>0</v>
      </c>
      <c r="R45" s="24"/>
      <c r="S45" s="24">
        <v>0</v>
      </c>
      <c r="T45" s="24"/>
      <c r="U45" s="24">
        <v>0</v>
      </c>
      <c r="V45" s="24"/>
      <c r="W45" s="24">
        <v>0</v>
      </c>
      <c r="X45" s="24"/>
      <c r="Y45" s="24">
        <f t="shared" si="2"/>
        <v>0</v>
      </c>
      <c r="Z45" s="24"/>
      <c r="AA45" s="24">
        <v>0</v>
      </c>
      <c r="AB45" s="24"/>
      <c r="AC45" s="24">
        <v>0</v>
      </c>
      <c r="AD45" s="24"/>
      <c r="AE45" s="24">
        <f aca="true" t="shared" si="4" ref="AE45:AE98">+AC45+AA45</f>
        <v>0</v>
      </c>
      <c r="AF45" s="25">
        <f>+'St of Net Assets - GA'!W45-'St of Activities - GA Exp'!AE45</f>
        <v>0</v>
      </c>
      <c r="AG45" s="28"/>
    </row>
    <row r="46" spans="1:33" ht="12.75">
      <c r="A46" s="23" t="s">
        <v>42</v>
      </c>
      <c r="B46" s="24"/>
      <c r="C46" s="24">
        <v>2939957</v>
      </c>
      <c r="D46" s="24"/>
      <c r="E46" s="24">
        <v>1593566</v>
      </c>
      <c r="F46" s="24"/>
      <c r="G46" s="24">
        <v>2892952</v>
      </c>
      <c r="H46" s="24"/>
      <c r="I46" s="24">
        <v>4270852</v>
      </c>
      <c r="J46" s="24"/>
      <c r="K46" s="24">
        <v>3276056</v>
      </c>
      <c r="L46" s="24"/>
      <c r="M46" s="24">
        <v>7700322</v>
      </c>
      <c r="N46" s="24"/>
      <c r="O46" s="24">
        <v>493548</v>
      </c>
      <c r="P46" s="24"/>
      <c r="Q46" s="24">
        <v>249499</v>
      </c>
      <c r="R46" s="24"/>
      <c r="S46" s="24">
        <v>71400</v>
      </c>
      <c r="T46" s="24"/>
      <c r="U46" s="24">
        <v>12982</v>
      </c>
      <c r="V46" s="24"/>
      <c r="W46" s="24">
        <v>55590</v>
      </c>
      <c r="X46" s="24"/>
      <c r="Y46" s="24">
        <f t="shared" si="2"/>
        <v>23556724</v>
      </c>
      <c r="Z46" s="24"/>
      <c r="AA46" s="24">
        <v>-87967</v>
      </c>
      <c r="AB46" s="24"/>
      <c r="AC46" s="24">
        <v>32081855</v>
      </c>
      <c r="AD46" s="24"/>
      <c r="AE46" s="24">
        <f t="shared" si="4"/>
        <v>31993888</v>
      </c>
      <c r="AF46" s="25">
        <f>+'St of Net Assets - GA'!W46-'St of Activities - GA Exp'!AE46</f>
        <v>0</v>
      </c>
      <c r="AG46" s="28"/>
    </row>
    <row r="47" spans="1:33" ht="12.75">
      <c r="A47" s="23" t="s">
        <v>43</v>
      </c>
      <c r="B47" s="24"/>
      <c r="C47" s="24">
        <v>5115980</v>
      </c>
      <c r="D47" s="24"/>
      <c r="E47" s="24">
        <v>1843214</v>
      </c>
      <c r="F47" s="24"/>
      <c r="G47" s="24">
        <v>4246537</v>
      </c>
      <c r="H47" s="24"/>
      <c r="I47" s="24">
        <v>7972033</v>
      </c>
      <c r="J47" s="24"/>
      <c r="K47" s="24">
        <v>243377</v>
      </c>
      <c r="L47" s="24"/>
      <c r="M47" s="24">
        <v>13305294</v>
      </c>
      <c r="N47" s="24"/>
      <c r="O47" s="24">
        <v>0</v>
      </c>
      <c r="P47" s="24"/>
      <c r="Q47" s="24">
        <v>297733</v>
      </c>
      <c r="R47" s="24"/>
      <c r="S47" s="24">
        <v>0</v>
      </c>
      <c r="T47" s="24"/>
      <c r="U47" s="24">
        <v>160000</v>
      </c>
      <c r="V47" s="24"/>
      <c r="W47" s="24">
        <v>231959</v>
      </c>
      <c r="X47" s="24"/>
      <c r="Y47" s="24">
        <f t="shared" si="2"/>
        <v>33416127</v>
      </c>
      <c r="Z47" s="24"/>
      <c r="AA47" s="24">
        <v>-2002245</v>
      </c>
      <c r="AB47" s="24"/>
      <c r="AC47" s="24">
        <v>32526316</v>
      </c>
      <c r="AD47" s="24"/>
      <c r="AE47" s="24">
        <f t="shared" si="4"/>
        <v>30524071</v>
      </c>
      <c r="AF47" s="25">
        <f>+'St of Net Assets - GA'!W47-'St of Activities - GA Exp'!AE47</f>
        <v>0</v>
      </c>
      <c r="AG47" s="28"/>
    </row>
    <row r="48" spans="1:33" ht="12.75">
      <c r="A48" s="23" t="s">
        <v>44</v>
      </c>
      <c r="B48" s="24"/>
      <c r="C48" s="24">
        <v>6270309</v>
      </c>
      <c r="D48" s="24"/>
      <c r="E48" s="24">
        <v>2324960</v>
      </c>
      <c r="F48" s="24"/>
      <c r="G48" s="24">
        <v>5520721</v>
      </c>
      <c r="H48" s="24"/>
      <c r="I48" s="24">
        <v>4724275</v>
      </c>
      <c r="J48" s="24"/>
      <c r="K48" s="24">
        <v>8893837</v>
      </c>
      <c r="L48" s="24"/>
      <c r="M48" s="24">
        <v>13133189</v>
      </c>
      <c r="N48" s="24"/>
      <c r="O48" s="24">
        <v>0</v>
      </c>
      <c r="P48" s="24"/>
      <c r="Q48" s="24">
        <v>154420</v>
      </c>
      <c r="R48" s="24"/>
      <c r="S48" s="24">
        <v>440642</v>
      </c>
      <c r="T48" s="24"/>
      <c r="U48" s="24">
        <v>0</v>
      </c>
      <c r="V48" s="24"/>
      <c r="W48" s="24">
        <v>540477</v>
      </c>
      <c r="X48" s="24"/>
      <c r="Y48" s="24">
        <f t="shared" si="2"/>
        <v>42002830</v>
      </c>
      <c r="Z48" s="24"/>
      <c r="AA48" s="24">
        <v>633328</v>
      </c>
      <c r="AB48" s="24"/>
      <c r="AC48" s="24">
        <v>43271211</v>
      </c>
      <c r="AD48" s="24"/>
      <c r="AE48" s="24">
        <f t="shared" si="4"/>
        <v>43904539</v>
      </c>
      <c r="AF48" s="25">
        <v>0</v>
      </c>
      <c r="AG48" s="28"/>
    </row>
    <row r="49" spans="1:33" ht="12.75" hidden="1">
      <c r="A49" s="23" t="s">
        <v>241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>
        <f t="shared" si="2"/>
        <v>0</v>
      </c>
      <c r="Z49" s="24"/>
      <c r="AA49" s="24"/>
      <c r="AB49" s="24"/>
      <c r="AC49" s="24"/>
      <c r="AD49" s="24"/>
      <c r="AE49" s="24">
        <f t="shared" si="4"/>
        <v>0</v>
      </c>
      <c r="AF49" s="25">
        <v>0</v>
      </c>
      <c r="AG49" s="28"/>
    </row>
    <row r="50" spans="1:33" ht="12.75">
      <c r="A50" s="23" t="s">
        <v>46</v>
      </c>
      <c r="B50" s="24"/>
      <c r="C50" s="24">
        <v>6431459</v>
      </c>
      <c r="D50" s="24"/>
      <c r="E50" s="24">
        <v>3849824</v>
      </c>
      <c r="F50" s="24"/>
      <c r="G50" s="24">
        <v>10061215</v>
      </c>
      <c r="H50" s="24"/>
      <c r="I50" s="24">
        <v>6774567</v>
      </c>
      <c r="J50" s="24"/>
      <c r="K50" s="24">
        <v>18096434</v>
      </c>
      <c r="L50" s="24"/>
      <c r="M50" s="24">
        <v>16354389</v>
      </c>
      <c r="N50" s="24"/>
      <c r="O50" s="24">
        <v>1124228</v>
      </c>
      <c r="P50" s="24"/>
      <c r="Q50" s="24">
        <v>542482</v>
      </c>
      <c r="R50" s="24"/>
      <c r="S50" s="24">
        <v>0</v>
      </c>
      <c r="T50" s="24"/>
      <c r="U50" s="24">
        <v>0</v>
      </c>
      <c r="V50" s="24"/>
      <c r="W50" s="24">
        <v>1695667</v>
      </c>
      <c r="X50" s="24"/>
      <c r="Y50" s="24">
        <f t="shared" si="2"/>
        <v>64930265</v>
      </c>
      <c r="Z50" s="24"/>
      <c r="AA50" s="24">
        <v>5901288</v>
      </c>
      <c r="AB50" s="24"/>
      <c r="AC50" s="24">
        <v>91032730</v>
      </c>
      <c r="AD50" s="24"/>
      <c r="AE50" s="24">
        <f t="shared" si="4"/>
        <v>96934018</v>
      </c>
      <c r="AF50" s="25">
        <v>0</v>
      </c>
      <c r="AG50" s="28"/>
    </row>
    <row r="51" spans="1:33" ht="12.75">
      <c r="A51" s="23" t="s">
        <v>47</v>
      </c>
      <c r="B51" s="24"/>
      <c r="C51" s="24">
        <v>6596815</v>
      </c>
      <c r="D51" s="24"/>
      <c r="E51" s="24">
        <v>2178492</v>
      </c>
      <c r="F51" s="24"/>
      <c r="G51" s="24">
        <v>6023816</v>
      </c>
      <c r="H51" s="24"/>
      <c r="I51" s="24">
        <v>6966197</v>
      </c>
      <c r="J51" s="24"/>
      <c r="K51" s="24">
        <v>551510</v>
      </c>
      <c r="L51" s="24"/>
      <c r="M51" s="24">
        <v>14053643</v>
      </c>
      <c r="N51" s="24"/>
      <c r="O51" s="24">
        <v>0</v>
      </c>
      <c r="P51" s="24"/>
      <c r="Q51" s="24">
        <v>0</v>
      </c>
      <c r="R51" s="24"/>
      <c r="S51" s="24">
        <v>0</v>
      </c>
      <c r="T51" s="24"/>
      <c r="U51" s="24">
        <v>2081824</v>
      </c>
      <c r="V51" s="24"/>
      <c r="W51" s="24">
        <v>499031</v>
      </c>
      <c r="X51" s="24"/>
      <c r="Y51" s="24">
        <f t="shared" si="2"/>
        <v>38951328</v>
      </c>
      <c r="Z51" s="24"/>
      <c r="AA51" s="24">
        <v>757525</v>
      </c>
      <c r="AB51" s="24"/>
      <c r="AC51" s="24">
        <v>71059942</v>
      </c>
      <c r="AD51" s="24"/>
      <c r="AE51" s="24">
        <f t="shared" si="4"/>
        <v>71817467</v>
      </c>
      <c r="AF51" s="25">
        <v>0</v>
      </c>
      <c r="AG51" s="28"/>
    </row>
    <row r="52" spans="1:33" ht="12.75">
      <c r="A52" s="23" t="s">
        <v>48</v>
      </c>
      <c r="B52" s="24"/>
      <c r="C52" s="24">
        <v>19677847</v>
      </c>
      <c r="D52" s="24"/>
      <c r="E52" s="24">
        <v>45335989</v>
      </c>
      <c r="F52" s="24"/>
      <c r="G52" s="24">
        <v>0</v>
      </c>
      <c r="H52" s="24"/>
      <c r="I52" s="24">
        <v>50693054</v>
      </c>
      <c r="J52" s="24"/>
      <c r="K52" s="24">
        <v>21722913</v>
      </c>
      <c r="L52" s="24"/>
      <c r="M52" s="24">
        <v>71069584</v>
      </c>
      <c r="N52" s="24"/>
      <c r="O52" s="24">
        <v>4569599</v>
      </c>
      <c r="P52" s="24"/>
      <c r="Q52" s="24">
        <v>0</v>
      </c>
      <c r="R52" s="24"/>
      <c r="S52" s="24">
        <v>0</v>
      </c>
      <c r="T52" s="24"/>
      <c r="U52" s="24">
        <v>0</v>
      </c>
      <c r="V52" s="24"/>
      <c r="W52" s="24">
        <v>1636394</v>
      </c>
      <c r="X52" s="24"/>
      <c r="Y52" s="24">
        <f t="shared" si="2"/>
        <v>214705380</v>
      </c>
      <c r="Z52" s="24"/>
      <c r="AA52" s="24">
        <v>-34713078</v>
      </c>
      <c r="AB52" s="24"/>
      <c r="AC52" s="24">
        <v>267179348</v>
      </c>
      <c r="AD52" s="24"/>
      <c r="AE52" s="24">
        <f t="shared" si="4"/>
        <v>232466270</v>
      </c>
      <c r="AF52" s="25">
        <v>0</v>
      </c>
      <c r="AG52" s="28"/>
    </row>
    <row r="53" spans="1:33" ht="12.75" hidden="1">
      <c r="A53" s="23" t="s">
        <v>170</v>
      </c>
      <c r="B53" s="24"/>
      <c r="C53" s="24">
        <v>0</v>
      </c>
      <c r="D53" s="24"/>
      <c r="E53" s="24">
        <v>0</v>
      </c>
      <c r="F53" s="24"/>
      <c r="G53" s="24">
        <v>0</v>
      </c>
      <c r="H53" s="24"/>
      <c r="I53" s="24">
        <v>0</v>
      </c>
      <c r="J53" s="24"/>
      <c r="K53" s="24">
        <v>0</v>
      </c>
      <c r="L53" s="24"/>
      <c r="M53" s="24">
        <v>0</v>
      </c>
      <c r="N53" s="24"/>
      <c r="O53" s="24">
        <v>0</v>
      </c>
      <c r="P53" s="24"/>
      <c r="Q53" s="24">
        <v>0</v>
      </c>
      <c r="R53" s="24"/>
      <c r="S53" s="24">
        <v>0</v>
      </c>
      <c r="T53" s="24"/>
      <c r="U53" s="24">
        <v>0</v>
      </c>
      <c r="V53" s="24"/>
      <c r="W53" s="24">
        <v>0</v>
      </c>
      <c r="X53" s="24"/>
      <c r="Y53" s="24">
        <f t="shared" si="2"/>
        <v>0</v>
      </c>
      <c r="Z53" s="24"/>
      <c r="AA53" s="24">
        <v>0</v>
      </c>
      <c r="AB53" s="24"/>
      <c r="AC53" s="24">
        <v>0</v>
      </c>
      <c r="AD53" s="24"/>
      <c r="AE53" s="24">
        <f t="shared" si="4"/>
        <v>0</v>
      </c>
      <c r="AF53" s="25">
        <v>0</v>
      </c>
      <c r="AG53" s="28"/>
    </row>
    <row r="54" spans="1:33" ht="12.75">
      <c r="A54" s="23" t="s">
        <v>49</v>
      </c>
      <c r="B54" s="24"/>
      <c r="C54" s="24">
        <v>21478197</v>
      </c>
      <c r="D54" s="24"/>
      <c r="E54" s="24">
        <v>0</v>
      </c>
      <c r="F54" s="24"/>
      <c r="G54" s="24">
        <v>19978109</v>
      </c>
      <c r="H54" s="24"/>
      <c r="I54" s="24">
        <v>7472624</v>
      </c>
      <c r="J54" s="24"/>
      <c r="K54" s="24">
        <v>4487341</v>
      </c>
      <c r="L54" s="24"/>
      <c r="M54" s="24">
        <v>44509343</v>
      </c>
      <c r="N54" s="24"/>
      <c r="O54" s="24">
        <v>1081339</v>
      </c>
      <c r="P54" s="24"/>
      <c r="Q54" s="24">
        <v>1147499</v>
      </c>
      <c r="R54" s="24"/>
      <c r="S54" s="24">
        <v>0</v>
      </c>
      <c r="T54" s="24"/>
      <c r="U54" s="24">
        <v>0</v>
      </c>
      <c r="V54" s="24"/>
      <c r="W54" s="24">
        <v>690358</v>
      </c>
      <c r="X54" s="24"/>
      <c r="Y54" s="24">
        <f>SUM(C54:W54)</f>
        <v>100844810</v>
      </c>
      <c r="Z54" s="24"/>
      <c r="AA54" s="24">
        <v>10558073</v>
      </c>
      <c r="AB54" s="24"/>
      <c r="AC54" s="24">
        <v>98217115</v>
      </c>
      <c r="AD54" s="24"/>
      <c r="AE54" s="24">
        <f t="shared" si="4"/>
        <v>108775188</v>
      </c>
      <c r="AF54" s="25">
        <v>0</v>
      </c>
      <c r="AG54" s="28"/>
    </row>
    <row r="55" spans="1:33" ht="12.75">
      <c r="A55" s="23" t="s">
        <v>50</v>
      </c>
      <c r="B55" s="24"/>
      <c r="C55" s="24">
        <v>6578122</v>
      </c>
      <c r="D55" s="24"/>
      <c r="E55" s="24">
        <v>2901657</v>
      </c>
      <c r="F55" s="24"/>
      <c r="G55" s="24">
        <v>6499455</v>
      </c>
      <c r="H55" s="24"/>
      <c r="I55" s="24">
        <v>4884753</v>
      </c>
      <c r="J55" s="24"/>
      <c r="K55" s="24">
        <v>1465547</v>
      </c>
      <c r="L55" s="24"/>
      <c r="M55" s="24">
        <v>14569585</v>
      </c>
      <c r="N55" s="24"/>
      <c r="O55" s="24">
        <f>265212+403205</f>
        <v>668417</v>
      </c>
      <c r="P55" s="24"/>
      <c r="Q55" s="24">
        <v>468234</v>
      </c>
      <c r="R55" s="24"/>
      <c r="S55" s="24">
        <v>0</v>
      </c>
      <c r="T55" s="24"/>
      <c r="U55" s="24">
        <v>0</v>
      </c>
      <c r="V55" s="24"/>
      <c r="W55" s="24">
        <v>567826</v>
      </c>
      <c r="X55" s="24"/>
      <c r="Y55" s="24">
        <f t="shared" si="2"/>
        <v>38603596</v>
      </c>
      <c r="Z55" s="24"/>
      <c r="AA55" s="24">
        <v>-7076721</v>
      </c>
      <c r="AB55" s="24"/>
      <c r="AC55" s="24">
        <v>83164002</v>
      </c>
      <c r="AD55" s="24"/>
      <c r="AE55" s="24">
        <f t="shared" si="4"/>
        <v>76087281</v>
      </c>
      <c r="AF55" s="25">
        <v>0</v>
      </c>
      <c r="AG55" s="28"/>
    </row>
    <row r="56" spans="1:33" ht="12.75">
      <c r="A56" s="23" t="s">
        <v>246</v>
      </c>
      <c r="B56" s="24"/>
      <c r="C56" s="24">
        <v>32607909</v>
      </c>
      <c r="D56" s="24"/>
      <c r="E56" s="24">
        <v>19100280</v>
      </c>
      <c r="F56" s="24"/>
      <c r="G56" s="24">
        <v>25598906</v>
      </c>
      <c r="H56" s="24"/>
      <c r="I56" s="24">
        <v>14000846</v>
      </c>
      <c r="J56" s="24"/>
      <c r="K56" s="24">
        <v>51756209</v>
      </c>
      <c r="L56" s="24"/>
      <c r="M56" s="24">
        <v>92729433</v>
      </c>
      <c r="N56" s="24"/>
      <c r="O56" s="24">
        <v>657234</v>
      </c>
      <c r="P56" s="24"/>
      <c r="Q56" s="24">
        <v>0</v>
      </c>
      <c r="R56" s="24"/>
      <c r="S56" s="24">
        <v>0</v>
      </c>
      <c r="T56" s="24"/>
      <c r="U56" s="24">
        <v>0</v>
      </c>
      <c r="V56" s="24"/>
      <c r="W56" s="24">
        <v>2227319</v>
      </c>
      <c r="X56" s="24"/>
      <c r="Y56" s="24">
        <f t="shared" si="2"/>
        <v>238678136</v>
      </c>
      <c r="Z56" s="24"/>
      <c r="AA56" s="24">
        <v>2801642</v>
      </c>
      <c r="AB56" s="24"/>
      <c r="AC56" s="24">
        <v>239264075</v>
      </c>
      <c r="AD56" s="24"/>
      <c r="AE56" s="24">
        <f t="shared" si="4"/>
        <v>242065717</v>
      </c>
      <c r="AF56" s="25">
        <v>0</v>
      </c>
      <c r="AG56" s="28"/>
    </row>
    <row r="57" spans="1:33" ht="12.75">
      <c r="A57" s="23" t="s">
        <v>183</v>
      </c>
      <c r="B57" s="24"/>
      <c r="C57" s="24">
        <v>56377330</v>
      </c>
      <c r="D57" s="24"/>
      <c r="E57" s="24">
        <v>71275700</v>
      </c>
      <c r="F57" s="24"/>
      <c r="G57" s="24">
        <v>76504827</v>
      </c>
      <c r="H57" s="24"/>
      <c r="I57" s="24">
        <v>21205847</v>
      </c>
      <c r="J57" s="24"/>
      <c r="K57" s="24">
        <v>139539669</v>
      </c>
      <c r="L57" s="24"/>
      <c r="M57" s="24">
        <v>158934794</v>
      </c>
      <c r="N57" s="24"/>
      <c r="O57" s="24">
        <v>0</v>
      </c>
      <c r="P57" s="24"/>
      <c r="Q57" s="24">
        <v>10026429</v>
      </c>
      <c r="R57" s="24"/>
      <c r="S57" s="24">
        <v>0</v>
      </c>
      <c r="T57" s="24"/>
      <c r="U57" s="24">
        <v>0</v>
      </c>
      <c r="V57" s="24"/>
      <c r="W57" s="24">
        <v>4584326</v>
      </c>
      <c r="X57" s="24"/>
      <c r="Y57" s="24">
        <f t="shared" si="2"/>
        <v>538448922</v>
      </c>
      <c r="Z57" s="24"/>
      <c r="AA57" s="24">
        <v>-1860921</v>
      </c>
      <c r="AB57" s="24"/>
      <c r="AC57" s="24">
        <v>365777651</v>
      </c>
      <c r="AD57" s="24"/>
      <c r="AE57" s="24">
        <f t="shared" si="4"/>
        <v>363916730</v>
      </c>
      <c r="AF57" s="25">
        <v>0</v>
      </c>
      <c r="AG57" s="28"/>
    </row>
    <row r="58" spans="1:33" ht="12.75" hidden="1">
      <c r="A58" s="23" t="s">
        <v>52</v>
      </c>
      <c r="B58" s="24"/>
      <c r="C58" s="24">
        <v>0</v>
      </c>
      <c r="D58" s="24"/>
      <c r="E58" s="24">
        <v>0</v>
      </c>
      <c r="F58" s="24"/>
      <c r="G58" s="24">
        <v>0</v>
      </c>
      <c r="H58" s="24"/>
      <c r="I58" s="24">
        <v>0</v>
      </c>
      <c r="J58" s="24"/>
      <c r="K58" s="24">
        <v>0</v>
      </c>
      <c r="L58" s="24"/>
      <c r="M58" s="24">
        <v>0</v>
      </c>
      <c r="N58" s="24"/>
      <c r="O58" s="24">
        <v>0</v>
      </c>
      <c r="P58" s="24"/>
      <c r="Q58" s="24">
        <v>0</v>
      </c>
      <c r="R58" s="24"/>
      <c r="S58" s="24">
        <v>0</v>
      </c>
      <c r="T58" s="24"/>
      <c r="U58" s="24">
        <v>0</v>
      </c>
      <c r="V58" s="24"/>
      <c r="W58" s="24">
        <v>0</v>
      </c>
      <c r="X58" s="24"/>
      <c r="Y58" s="24">
        <f t="shared" si="2"/>
        <v>0</v>
      </c>
      <c r="Z58" s="24"/>
      <c r="AA58" s="24">
        <v>0</v>
      </c>
      <c r="AB58" s="24"/>
      <c r="AC58" s="24">
        <v>0</v>
      </c>
      <c r="AD58" s="24"/>
      <c r="AE58" s="24">
        <f t="shared" si="4"/>
        <v>0</v>
      </c>
      <c r="AF58" s="25">
        <v>0</v>
      </c>
      <c r="AG58" s="28"/>
    </row>
    <row r="59" spans="1:33" ht="12.75">
      <c r="A59" s="23" t="s">
        <v>53</v>
      </c>
      <c r="B59" s="24"/>
      <c r="C59" s="24">
        <v>26909912</v>
      </c>
      <c r="D59" s="24"/>
      <c r="E59" s="24">
        <v>17803164</v>
      </c>
      <c r="F59" s="24"/>
      <c r="G59" s="24">
        <v>27431460</v>
      </c>
      <c r="H59" s="24"/>
      <c r="I59" s="24">
        <v>18350406</v>
      </c>
      <c r="J59" s="24"/>
      <c r="K59" s="24">
        <v>52812109</v>
      </c>
      <c r="L59" s="24"/>
      <c r="M59" s="24">
        <v>62287927</v>
      </c>
      <c r="N59" s="24"/>
      <c r="O59" s="24">
        <v>0</v>
      </c>
      <c r="P59" s="24"/>
      <c r="Q59" s="24">
        <v>0</v>
      </c>
      <c r="R59" s="24"/>
      <c r="S59" s="24">
        <v>0</v>
      </c>
      <c r="T59" s="24"/>
      <c r="U59" s="24">
        <v>0</v>
      </c>
      <c r="V59" s="24"/>
      <c r="W59" s="24">
        <v>1649024</v>
      </c>
      <c r="X59" s="24"/>
      <c r="Y59" s="24">
        <f t="shared" si="2"/>
        <v>207244002</v>
      </c>
      <c r="Z59" s="24"/>
      <c r="AA59" s="24">
        <v>-2939392</v>
      </c>
      <c r="AB59" s="24"/>
      <c r="AC59" s="24">
        <v>178799933</v>
      </c>
      <c r="AD59" s="24"/>
      <c r="AE59" s="24">
        <f t="shared" si="4"/>
        <v>175860541</v>
      </c>
      <c r="AF59" s="25">
        <v>0</v>
      </c>
      <c r="AG59" s="28"/>
    </row>
    <row r="60" spans="1:33" ht="12.75">
      <c r="A60" s="23" t="s">
        <v>54</v>
      </c>
      <c r="B60" s="24"/>
      <c r="C60" s="24">
        <v>6865354</v>
      </c>
      <c r="D60" s="24"/>
      <c r="E60" s="24">
        <v>2160259</v>
      </c>
      <c r="F60" s="24"/>
      <c r="G60" s="24">
        <v>9906723</v>
      </c>
      <c r="H60" s="24"/>
      <c r="I60" s="24">
        <v>3186953</v>
      </c>
      <c r="J60" s="24"/>
      <c r="K60" s="24">
        <v>7928161</v>
      </c>
      <c r="L60" s="24"/>
      <c r="M60" s="24">
        <v>14559161</v>
      </c>
      <c r="N60" s="24"/>
      <c r="O60" s="24">
        <v>0</v>
      </c>
      <c r="P60" s="24"/>
      <c r="Q60" s="24">
        <v>13000</v>
      </c>
      <c r="R60" s="24"/>
      <c r="S60" s="24">
        <v>0</v>
      </c>
      <c r="T60" s="24"/>
      <c r="U60" s="24">
        <f>+178628+830770+1087960+185000</f>
        <v>2282358</v>
      </c>
      <c r="V60" s="24"/>
      <c r="W60" s="24">
        <v>484721</v>
      </c>
      <c r="X60" s="24"/>
      <c r="Y60" s="24">
        <f t="shared" si="2"/>
        <v>47386690</v>
      </c>
      <c r="Z60" s="24"/>
      <c r="AA60" s="24">
        <v>3000845</v>
      </c>
      <c r="AB60" s="24"/>
      <c r="AC60" s="24">
        <v>72774770</v>
      </c>
      <c r="AD60" s="24"/>
      <c r="AE60" s="24">
        <f t="shared" si="4"/>
        <v>75775615</v>
      </c>
      <c r="AF60" s="25">
        <v>0</v>
      </c>
      <c r="AG60" s="28"/>
    </row>
    <row r="61" spans="1:33" ht="12.75">
      <c r="A61" s="23" t="s">
        <v>55</v>
      </c>
      <c r="B61" s="24"/>
      <c r="C61" s="24">
        <v>15443335</v>
      </c>
      <c r="D61" s="24"/>
      <c r="E61" s="24">
        <v>9911082</v>
      </c>
      <c r="F61" s="24"/>
      <c r="G61" s="24">
        <v>21552413</v>
      </c>
      <c r="H61" s="24"/>
      <c r="I61" s="24">
        <v>9285296</v>
      </c>
      <c r="J61" s="24"/>
      <c r="K61" s="24">
        <v>25711786</v>
      </c>
      <c r="L61" s="24"/>
      <c r="M61" s="24">
        <v>24799417</v>
      </c>
      <c r="N61" s="24"/>
      <c r="O61" s="24">
        <v>635351</v>
      </c>
      <c r="P61" s="24"/>
      <c r="Q61" s="24">
        <v>0</v>
      </c>
      <c r="R61" s="24"/>
      <c r="S61" s="24">
        <v>0</v>
      </c>
      <c r="T61" s="24"/>
      <c r="U61" s="24">
        <v>844663</v>
      </c>
      <c r="V61" s="24"/>
      <c r="W61" s="24">
        <v>533226</v>
      </c>
      <c r="X61" s="24"/>
      <c r="Y61" s="24">
        <f t="shared" si="2"/>
        <v>108716569</v>
      </c>
      <c r="Z61" s="24"/>
      <c r="AA61" s="24">
        <v>-1210484</v>
      </c>
      <c r="AB61" s="24"/>
      <c r="AC61" s="24">
        <v>101814925</v>
      </c>
      <c r="AD61" s="24"/>
      <c r="AE61" s="24">
        <f t="shared" si="4"/>
        <v>100604441</v>
      </c>
      <c r="AF61" s="25">
        <v>0</v>
      </c>
      <c r="AG61" s="28"/>
    </row>
    <row r="62" spans="1:33" ht="12.75" hidden="1">
      <c r="A62" s="23" t="s">
        <v>171</v>
      </c>
      <c r="B62" s="24"/>
      <c r="C62" s="24">
        <v>0</v>
      </c>
      <c r="D62" s="24"/>
      <c r="E62" s="24">
        <v>0</v>
      </c>
      <c r="F62" s="24"/>
      <c r="G62" s="24">
        <v>0</v>
      </c>
      <c r="H62" s="24"/>
      <c r="I62" s="24">
        <v>0</v>
      </c>
      <c r="J62" s="24"/>
      <c r="K62" s="24">
        <v>0</v>
      </c>
      <c r="L62" s="24"/>
      <c r="M62" s="24">
        <v>0</v>
      </c>
      <c r="N62" s="24"/>
      <c r="O62" s="24">
        <v>0</v>
      </c>
      <c r="P62" s="24"/>
      <c r="Q62" s="24">
        <v>0</v>
      </c>
      <c r="R62" s="24"/>
      <c r="S62" s="24">
        <v>0</v>
      </c>
      <c r="T62" s="24"/>
      <c r="U62" s="24">
        <v>0</v>
      </c>
      <c r="V62" s="24"/>
      <c r="W62" s="24">
        <v>0</v>
      </c>
      <c r="X62" s="24"/>
      <c r="Y62" s="24">
        <f t="shared" si="2"/>
        <v>0</v>
      </c>
      <c r="Z62" s="24"/>
      <c r="AA62" s="24">
        <v>0</v>
      </c>
      <c r="AB62" s="24"/>
      <c r="AC62" s="24">
        <v>0</v>
      </c>
      <c r="AD62" s="24"/>
      <c r="AE62" s="24">
        <f t="shared" si="4"/>
        <v>0</v>
      </c>
      <c r="AF62" s="25">
        <v>0</v>
      </c>
      <c r="AG62" s="28"/>
    </row>
    <row r="63" spans="1:33" ht="12.75" hidden="1">
      <c r="A63" s="23" t="s">
        <v>56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>
        <f t="shared" si="2"/>
        <v>0</v>
      </c>
      <c r="Z63" s="24"/>
      <c r="AA63" s="24"/>
      <c r="AB63" s="24"/>
      <c r="AC63" s="24"/>
      <c r="AD63" s="24"/>
      <c r="AE63" s="24">
        <f t="shared" si="4"/>
        <v>0</v>
      </c>
      <c r="AF63" s="25">
        <v>0</v>
      </c>
      <c r="AG63" s="28"/>
    </row>
    <row r="64" spans="1:33" ht="12.75">
      <c r="A64" s="23" t="s">
        <v>57</v>
      </c>
      <c r="B64" s="24"/>
      <c r="C64" s="24">
        <v>14866755</v>
      </c>
      <c r="D64" s="24"/>
      <c r="E64" s="24">
        <v>0</v>
      </c>
      <c r="F64" s="24"/>
      <c r="G64" s="24">
        <v>17712859</v>
      </c>
      <c r="H64" s="24"/>
      <c r="I64" s="24">
        <v>9935429</v>
      </c>
      <c r="J64" s="24"/>
      <c r="K64" s="24">
        <v>13284599</v>
      </c>
      <c r="L64" s="24"/>
      <c r="M64" s="24">
        <v>13434394</v>
      </c>
      <c r="N64" s="24"/>
      <c r="O64" s="24">
        <v>0</v>
      </c>
      <c r="P64" s="24"/>
      <c r="Q64" s="24">
        <v>536828</v>
      </c>
      <c r="R64" s="24"/>
      <c r="S64" s="24">
        <v>0</v>
      </c>
      <c r="T64" s="24"/>
      <c r="U64" s="24">
        <v>0</v>
      </c>
      <c r="V64" s="24"/>
      <c r="W64" s="24">
        <v>256451</v>
      </c>
      <c r="X64" s="24"/>
      <c r="Y64" s="24">
        <f t="shared" si="2"/>
        <v>70027315</v>
      </c>
      <c r="Z64" s="24"/>
      <c r="AA64" s="24">
        <v>2835610</v>
      </c>
      <c r="AB64" s="24"/>
      <c r="AC64" s="24">
        <v>130635362</v>
      </c>
      <c r="AD64" s="24"/>
      <c r="AE64" s="24">
        <f t="shared" si="4"/>
        <v>133470972</v>
      </c>
      <c r="AF64" s="25">
        <v>0</v>
      </c>
      <c r="AG64" s="28"/>
    </row>
    <row r="65" spans="1:33" ht="12.75">
      <c r="A65" s="23" t="s">
        <v>58</v>
      </c>
      <c r="B65" s="24"/>
      <c r="C65" s="24">
        <v>1581140</v>
      </c>
      <c r="D65" s="24"/>
      <c r="E65" s="24">
        <v>667337</v>
      </c>
      <c r="F65" s="24"/>
      <c r="G65" s="24">
        <v>1953541</v>
      </c>
      <c r="H65" s="24"/>
      <c r="I65" s="24">
        <v>3375931</v>
      </c>
      <c r="J65" s="24"/>
      <c r="K65" s="24">
        <v>1962351</v>
      </c>
      <c r="L65" s="24"/>
      <c r="M65" s="24">
        <v>5532192</v>
      </c>
      <c r="N65" s="24"/>
      <c r="O65" s="24">
        <v>520359</v>
      </c>
      <c r="P65" s="24"/>
      <c r="Q65" s="24">
        <v>0</v>
      </c>
      <c r="R65" s="24"/>
      <c r="S65" s="24">
        <v>0</v>
      </c>
      <c r="T65" s="24"/>
      <c r="U65" s="24">
        <v>10500</v>
      </c>
      <c r="V65" s="24"/>
      <c r="W65" s="24">
        <v>13363</v>
      </c>
      <c r="X65" s="24"/>
      <c r="Y65" s="24">
        <f t="shared" si="2"/>
        <v>15616714</v>
      </c>
      <c r="Z65" s="24"/>
      <c r="AA65" s="24">
        <v>-446204</v>
      </c>
      <c r="AB65" s="24"/>
      <c r="AC65" s="24">
        <v>20812169</v>
      </c>
      <c r="AD65" s="24"/>
      <c r="AE65" s="24">
        <f t="shared" si="4"/>
        <v>20365965</v>
      </c>
      <c r="AF65" s="25">
        <v>0</v>
      </c>
      <c r="AG65" s="28"/>
    </row>
    <row r="66" spans="1:33" ht="12.75">
      <c r="A66" s="23" t="s">
        <v>59</v>
      </c>
      <c r="B66" s="24"/>
      <c r="C66" s="24">
        <v>49841810</v>
      </c>
      <c r="D66" s="24"/>
      <c r="E66" s="24">
        <v>156772668</v>
      </c>
      <c r="F66" s="24"/>
      <c r="G66" s="24">
        <v>0</v>
      </c>
      <c r="H66" s="24"/>
      <c r="I66" s="24">
        <v>19763380</v>
      </c>
      <c r="J66" s="24"/>
      <c r="K66" s="24">
        <v>0</v>
      </c>
      <c r="L66" s="24"/>
      <c r="M66" s="24">
        <v>290281621</v>
      </c>
      <c r="N66" s="24"/>
      <c r="O66" s="24">
        <v>17907526</v>
      </c>
      <c r="P66" s="24"/>
      <c r="Q66" s="24">
        <v>0</v>
      </c>
      <c r="R66" s="24"/>
      <c r="S66" s="24">
        <v>0</v>
      </c>
      <c r="T66" s="24"/>
      <c r="U66" s="24">
        <v>0</v>
      </c>
      <c r="V66" s="24"/>
      <c r="W66" s="24">
        <v>2330933</v>
      </c>
      <c r="X66" s="24"/>
      <c r="Y66" s="24">
        <f t="shared" si="2"/>
        <v>536897938</v>
      </c>
      <c r="Z66" s="24"/>
      <c r="AA66" s="24">
        <v>10867152</v>
      </c>
      <c r="AB66" s="24"/>
      <c r="AC66" s="24">
        <v>790401422</v>
      </c>
      <c r="AD66" s="24"/>
      <c r="AE66" s="24">
        <f t="shared" si="4"/>
        <v>801268574</v>
      </c>
      <c r="AF66" s="25">
        <v>0</v>
      </c>
      <c r="AG66" s="28"/>
    </row>
    <row r="67" spans="1:33" ht="12.75" hidden="1">
      <c r="A67" s="23" t="s">
        <v>60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>
        <f t="shared" si="2"/>
        <v>0</v>
      </c>
      <c r="Z67" s="24"/>
      <c r="AA67" s="24"/>
      <c r="AB67" s="24"/>
      <c r="AC67" s="24"/>
      <c r="AD67" s="24"/>
      <c r="AE67" s="24">
        <f t="shared" si="4"/>
        <v>0</v>
      </c>
      <c r="AF67" s="25">
        <v>0</v>
      </c>
      <c r="AG67" s="28"/>
    </row>
    <row r="68" spans="1:33" ht="12.75">
      <c r="A68" s="23" t="s">
        <v>97</v>
      </c>
      <c r="B68" s="24"/>
      <c r="C68" s="24">
        <v>3751029</v>
      </c>
      <c r="D68" s="24"/>
      <c r="E68" s="24">
        <v>1659161</v>
      </c>
      <c r="F68" s="24"/>
      <c r="G68" s="24">
        <v>4823135</v>
      </c>
      <c r="H68" s="24"/>
      <c r="I68" s="24">
        <v>4041305</v>
      </c>
      <c r="J68" s="24"/>
      <c r="K68" s="24">
        <v>2104859</v>
      </c>
      <c r="L68" s="24"/>
      <c r="M68" s="24">
        <v>7997436</v>
      </c>
      <c r="N68" s="24"/>
      <c r="O68" s="24">
        <v>49156</v>
      </c>
      <c r="P68" s="24"/>
      <c r="Q68" s="24">
        <v>0</v>
      </c>
      <c r="R68" s="24"/>
      <c r="S68" s="24">
        <v>703403</v>
      </c>
      <c r="T68" s="24"/>
      <c r="U68" s="24">
        <v>449047</v>
      </c>
      <c r="V68" s="24"/>
      <c r="W68" s="24">
        <v>222368</v>
      </c>
      <c r="X68" s="24"/>
      <c r="Y68" s="24">
        <f t="shared" si="2"/>
        <v>25800899</v>
      </c>
      <c r="Z68" s="24"/>
      <c r="AA68" s="24">
        <v>2163929</v>
      </c>
      <c r="AB68" s="24"/>
      <c r="AC68" s="24">
        <v>35294240</v>
      </c>
      <c r="AD68" s="24"/>
      <c r="AE68" s="24">
        <f t="shared" si="4"/>
        <v>37458169</v>
      </c>
      <c r="AF68" s="25">
        <v>0</v>
      </c>
      <c r="AG68" s="28"/>
    </row>
    <row r="69" spans="1:33" ht="12.75">
      <c r="A69" s="23" t="s">
        <v>61</v>
      </c>
      <c r="B69" s="24"/>
      <c r="C69" s="24">
        <v>10093026</v>
      </c>
      <c r="D69" s="24"/>
      <c r="E69" s="24">
        <v>6474827</v>
      </c>
      <c r="F69" s="24"/>
      <c r="G69" s="24">
        <f>10841659+39178</f>
        <v>10880837</v>
      </c>
      <c r="H69" s="24"/>
      <c r="I69" s="24">
        <f>8941613+971299</f>
        <v>9912912</v>
      </c>
      <c r="J69" s="24"/>
      <c r="K69" s="24">
        <f>1358932+1346941</f>
        <v>2705873</v>
      </c>
      <c r="L69" s="24"/>
      <c r="M69" s="24">
        <v>40249996</v>
      </c>
      <c r="N69" s="24"/>
      <c r="O69" s="24">
        <v>0</v>
      </c>
      <c r="P69" s="24"/>
      <c r="Q69" s="24">
        <v>0</v>
      </c>
      <c r="R69" s="24"/>
      <c r="S69" s="24">
        <v>0</v>
      </c>
      <c r="T69" s="24"/>
      <c r="U69" s="24">
        <v>0</v>
      </c>
      <c r="V69" s="24"/>
      <c r="W69" s="24">
        <v>790269</v>
      </c>
      <c r="X69" s="24"/>
      <c r="Y69" s="24">
        <f t="shared" si="2"/>
        <v>81107740</v>
      </c>
      <c r="Z69" s="24"/>
      <c r="AA69" s="24">
        <v>2150417</v>
      </c>
      <c r="AB69" s="24"/>
      <c r="AC69" s="24">
        <v>116093177</v>
      </c>
      <c r="AD69" s="24"/>
      <c r="AE69" s="24">
        <f t="shared" si="4"/>
        <v>118243594</v>
      </c>
      <c r="AF69" s="25">
        <v>0</v>
      </c>
      <c r="AG69" s="28"/>
    </row>
    <row r="70" spans="1:33" ht="12.75">
      <c r="A70" s="23" t="s">
        <v>62</v>
      </c>
      <c r="B70" s="24"/>
      <c r="C70" s="24">
        <v>1694620</v>
      </c>
      <c r="D70" s="24"/>
      <c r="E70" s="24">
        <v>429567</v>
      </c>
      <c r="F70" s="24"/>
      <c r="G70" s="24">
        <v>1216886</v>
      </c>
      <c r="H70" s="24"/>
      <c r="I70" s="24">
        <v>3720121</v>
      </c>
      <c r="J70" s="24"/>
      <c r="K70" s="24">
        <v>898045</v>
      </c>
      <c r="L70" s="24"/>
      <c r="M70" s="24">
        <v>3750550</v>
      </c>
      <c r="N70" s="24"/>
      <c r="O70" s="24">
        <v>0</v>
      </c>
      <c r="P70" s="24"/>
      <c r="Q70" s="24">
        <v>492010</v>
      </c>
      <c r="R70" s="24"/>
      <c r="S70" s="24">
        <v>0</v>
      </c>
      <c r="T70" s="24"/>
      <c r="U70" s="24">
        <v>0</v>
      </c>
      <c r="V70" s="24"/>
      <c r="W70" s="24">
        <v>53341</v>
      </c>
      <c r="X70" s="24"/>
      <c r="Y70" s="24">
        <f t="shared" si="2"/>
        <v>12255140</v>
      </c>
      <c r="Z70" s="24"/>
      <c r="AA70" s="24">
        <v>441124</v>
      </c>
      <c r="AB70" s="24"/>
      <c r="AC70" s="24">
        <v>28815708</v>
      </c>
      <c r="AD70" s="24"/>
      <c r="AE70" s="24">
        <f t="shared" si="4"/>
        <v>29256832</v>
      </c>
      <c r="AF70" s="25">
        <f>+'[1]St of Net Assets - GA'!W70-'[1]St of Activities - GA Exp'!AE70</f>
        <v>0</v>
      </c>
      <c r="AG70" s="28"/>
    </row>
    <row r="71" spans="1:33" ht="12.75">
      <c r="A71" s="23" t="s">
        <v>63</v>
      </c>
      <c r="B71" s="24"/>
      <c r="C71" s="24">
        <v>5105048</v>
      </c>
      <c r="D71" s="24"/>
      <c r="E71" s="24">
        <v>2944641</v>
      </c>
      <c r="F71" s="24"/>
      <c r="G71" s="24">
        <v>6493182</v>
      </c>
      <c r="H71" s="24"/>
      <c r="I71" s="24">
        <v>7217257</v>
      </c>
      <c r="J71" s="24"/>
      <c r="K71" s="24">
        <v>162673</v>
      </c>
      <c r="L71" s="24"/>
      <c r="M71" s="24">
        <v>17166654</v>
      </c>
      <c r="N71" s="24"/>
      <c r="O71" s="24">
        <v>4765</v>
      </c>
      <c r="P71" s="24"/>
      <c r="Q71" s="24">
        <v>40310</v>
      </c>
      <c r="R71" s="24"/>
      <c r="S71" s="24">
        <v>469961</v>
      </c>
      <c r="T71" s="24"/>
      <c r="U71" s="24">
        <v>0</v>
      </c>
      <c r="V71" s="24"/>
      <c r="W71" s="24">
        <v>1105639</v>
      </c>
      <c r="X71" s="24"/>
      <c r="Y71" s="24">
        <f t="shared" si="2"/>
        <v>40710130</v>
      </c>
      <c r="Z71" s="24"/>
      <c r="AA71" s="24">
        <v>202998</v>
      </c>
      <c r="AB71" s="24"/>
      <c r="AC71" s="24">
        <v>56796054</v>
      </c>
      <c r="AD71" s="24"/>
      <c r="AE71" s="24">
        <f t="shared" si="4"/>
        <v>56999052</v>
      </c>
      <c r="AF71" s="25">
        <f>+'[1]St of Net Assets - GA'!W71-'[1]St of Activities - GA Exp'!AE71</f>
        <v>0</v>
      </c>
      <c r="AG71" s="28"/>
    </row>
    <row r="72" spans="1:33" ht="12.75" hidden="1">
      <c r="A72" s="23" t="s">
        <v>132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>
        <f t="shared" si="2"/>
        <v>0</v>
      </c>
      <c r="Z72" s="24"/>
      <c r="AA72" s="24"/>
      <c r="AB72" s="24"/>
      <c r="AC72" s="24"/>
      <c r="AD72" s="24"/>
      <c r="AE72" s="24">
        <f t="shared" si="4"/>
        <v>0</v>
      </c>
      <c r="AF72" s="25">
        <f>+'[1]St of Net Assets - GA'!W72-'[1]St of Activities - GA Exp'!AE72</f>
        <v>0</v>
      </c>
      <c r="AG72" s="28"/>
    </row>
    <row r="73" spans="1:33" ht="12.75" hidden="1">
      <c r="A73" s="23" t="s">
        <v>64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>
        <f t="shared" si="2"/>
        <v>0</v>
      </c>
      <c r="Z73" s="24"/>
      <c r="AA73" s="24"/>
      <c r="AB73" s="24"/>
      <c r="AC73" s="24"/>
      <c r="AD73" s="24"/>
      <c r="AE73" s="24">
        <f t="shared" si="4"/>
        <v>0</v>
      </c>
      <c r="AF73" s="25">
        <f>+'[1]St of Net Assets - GA'!W73-'[1]St of Activities - GA Exp'!AE73</f>
        <v>0</v>
      </c>
      <c r="AG73" s="28"/>
    </row>
    <row r="74" spans="1:33" ht="12.75">
      <c r="A74" s="23" t="s">
        <v>65</v>
      </c>
      <c r="B74" s="24"/>
      <c r="C74" s="24">
        <v>4061528</v>
      </c>
      <c r="D74" s="24"/>
      <c r="E74" s="24">
        <v>2084095</v>
      </c>
      <c r="F74" s="24"/>
      <c r="G74" s="24">
        <v>7184651</v>
      </c>
      <c r="H74" s="24"/>
      <c r="I74" s="24">
        <v>4550546</v>
      </c>
      <c r="J74" s="24"/>
      <c r="K74" s="24">
        <v>4432223</v>
      </c>
      <c r="L74" s="24"/>
      <c r="M74" s="24">
        <v>10004895</v>
      </c>
      <c r="N74" s="24"/>
      <c r="O74" s="24">
        <v>631930</v>
      </c>
      <c r="P74" s="24"/>
      <c r="Q74" s="24">
        <v>630089</v>
      </c>
      <c r="R74" s="24"/>
      <c r="S74" s="24">
        <v>21880</v>
      </c>
      <c r="T74" s="24"/>
      <c r="U74" s="24">
        <v>0</v>
      </c>
      <c r="V74" s="24"/>
      <c r="W74" s="24">
        <v>75613</v>
      </c>
      <c r="X74" s="24"/>
      <c r="Y74" s="24">
        <f t="shared" si="2"/>
        <v>33677450</v>
      </c>
      <c r="Z74" s="24"/>
      <c r="AA74" s="24">
        <v>3436010</v>
      </c>
      <c r="AB74" s="24"/>
      <c r="AC74" s="24">
        <v>47037615</v>
      </c>
      <c r="AD74" s="24"/>
      <c r="AE74" s="24">
        <f t="shared" si="4"/>
        <v>50473625</v>
      </c>
      <c r="AF74" s="25">
        <f>+'[1]St of Net Assets - GA'!W74-'[1]St of Activities - GA Exp'!AE74</f>
        <v>0</v>
      </c>
      <c r="AG74" s="28"/>
    </row>
    <row r="75" spans="1:33" ht="12.75">
      <c r="A75" s="23" t="s">
        <v>66</v>
      </c>
      <c r="B75" s="24"/>
      <c r="C75" s="24">
        <v>3199826</v>
      </c>
      <c r="D75" s="24"/>
      <c r="E75" s="24">
        <v>1254688</v>
      </c>
      <c r="F75" s="24"/>
      <c r="G75" s="24">
        <v>2656984</v>
      </c>
      <c r="H75" s="24"/>
      <c r="I75" s="24">
        <v>6757222</v>
      </c>
      <c r="J75" s="24"/>
      <c r="K75" s="24">
        <v>3177657</v>
      </c>
      <c r="L75" s="24"/>
      <c r="M75" s="24">
        <v>6557840</v>
      </c>
      <c r="N75" s="24"/>
      <c r="O75" s="24">
        <v>395665</v>
      </c>
      <c r="P75" s="24"/>
      <c r="Q75" s="24">
        <v>226335</v>
      </c>
      <c r="R75" s="24"/>
      <c r="S75" s="24">
        <v>0</v>
      </c>
      <c r="T75" s="24"/>
      <c r="U75" s="24">
        <v>0</v>
      </c>
      <c r="V75" s="24"/>
      <c r="W75" s="24">
        <v>197700</v>
      </c>
      <c r="X75" s="24"/>
      <c r="Y75" s="24">
        <f t="shared" si="2"/>
        <v>24423917</v>
      </c>
      <c r="Z75" s="24"/>
      <c r="AA75" s="24">
        <v>3088042</v>
      </c>
      <c r="AB75" s="24"/>
      <c r="AC75" s="24">
        <v>40528859</v>
      </c>
      <c r="AD75" s="24"/>
      <c r="AE75" s="24">
        <f t="shared" si="4"/>
        <v>43616901</v>
      </c>
      <c r="AF75" s="25">
        <f>+'[1]St of Net Assets - GA'!W75-'[1]St of Activities - GA Exp'!AE75</f>
        <v>0</v>
      </c>
      <c r="AG75" s="28"/>
    </row>
    <row r="76" spans="1:33" ht="12.75">
      <c r="A76" s="23" t="s">
        <v>67</v>
      </c>
      <c r="B76" s="24"/>
      <c r="C76" s="24">
        <v>15877998</v>
      </c>
      <c r="D76" s="24"/>
      <c r="E76" s="24">
        <v>9724164</v>
      </c>
      <c r="F76" s="24"/>
      <c r="G76" s="24">
        <v>15830807</v>
      </c>
      <c r="H76" s="24"/>
      <c r="I76" s="24">
        <v>9427921</v>
      </c>
      <c r="J76" s="24"/>
      <c r="K76" s="24">
        <v>33543452</v>
      </c>
      <c r="L76" s="24"/>
      <c r="M76" s="24">
        <v>26470836</v>
      </c>
      <c r="N76" s="24"/>
      <c r="O76" s="24">
        <v>0</v>
      </c>
      <c r="P76" s="24"/>
      <c r="Q76" s="24">
        <v>0</v>
      </c>
      <c r="R76" s="24"/>
      <c r="S76" s="24">
        <v>0</v>
      </c>
      <c r="T76" s="24"/>
      <c r="U76" s="24">
        <v>0</v>
      </c>
      <c r="V76" s="24"/>
      <c r="W76" s="24">
        <v>895471</v>
      </c>
      <c r="X76" s="24"/>
      <c r="Y76" s="24">
        <f t="shared" si="2"/>
        <v>111770649</v>
      </c>
      <c r="Z76" s="24"/>
      <c r="AA76" s="24">
        <v>17315933</v>
      </c>
      <c r="AB76" s="24"/>
      <c r="AC76" s="24">
        <v>138957569</v>
      </c>
      <c r="AD76" s="24"/>
      <c r="AE76" s="24">
        <f t="shared" si="4"/>
        <v>156273502</v>
      </c>
      <c r="AF76" s="25">
        <f>+'[1]St of Net Assets - GA'!W76-'[1]St of Activities - GA Exp'!AE76</f>
        <v>0</v>
      </c>
      <c r="AG76" s="28"/>
    </row>
    <row r="77" spans="1:33" ht="12.75">
      <c r="A77" s="23" t="s">
        <v>68</v>
      </c>
      <c r="B77" s="24"/>
      <c r="C77" s="24">
        <v>3783334</v>
      </c>
      <c r="D77" s="24"/>
      <c r="E77" s="24">
        <v>1964906</v>
      </c>
      <c r="F77" s="24"/>
      <c r="G77" s="24">
        <v>5014603</v>
      </c>
      <c r="H77" s="24"/>
      <c r="I77" s="24">
        <v>4347607</v>
      </c>
      <c r="J77" s="24"/>
      <c r="K77" s="24">
        <v>2919999</v>
      </c>
      <c r="L77" s="24"/>
      <c r="M77" s="24">
        <v>9453324</v>
      </c>
      <c r="N77" s="24"/>
      <c r="O77" s="24">
        <v>573201</v>
      </c>
      <c r="P77" s="24"/>
      <c r="Q77" s="24">
        <v>0</v>
      </c>
      <c r="R77" s="24"/>
      <c r="S77" s="24">
        <v>0</v>
      </c>
      <c r="T77" s="24"/>
      <c r="U77" s="24">
        <v>314533</v>
      </c>
      <c r="V77" s="24"/>
      <c r="W77" s="24">
        <v>173820</v>
      </c>
      <c r="X77" s="24"/>
      <c r="Y77" s="24">
        <f t="shared" si="2"/>
        <v>28545327</v>
      </c>
      <c r="Z77" s="24"/>
      <c r="AA77" s="24">
        <v>1307277</v>
      </c>
      <c r="AB77" s="24"/>
      <c r="AC77" s="24">
        <v>24868273</v>
      </c>
      <c r="AD77" s="24"/>
      <c r="AE77" s="24">
        <f t="shared" si="4"/>
        <v>26175550</v>
      </c>
      <c r="AF77" s="25">
        <f>+'[1]St of Net Assets - GA'!W77-'[1]St of Activities - GA Exp'!AE77</f>
        <v>0</v>
      </c>
      <c r="AG77" s="28"/>
    </row>
    <row r="78" spans="1:33" ht="12.75" hidden="1">
      <c r="A78" s="23" t="s">
        <v>176</v>
      </c>
      <c r="B78" s="24"/>
      <c r="C78" s="24"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v>0</v>
      </c>
      <c r="T78" s="24"/>
      <c r="U78" s="24">
        <v>0</v>
      </c>
      <c r="V78" s="24"/>
      <c r="W78" s="24">
        <v>0</v>
      </c>
      <c r="X78" s="24"/>
      <c r="Y78" s="24">
        <f t="shared" si="2"/>
        <v>0</v>
      </c>
      <c r="Z78" s="24"/>
      <c r="AA78" s="24">
        <v>0</v>
      </c>
      <c r="AB78" s="24"/>
      <c r="AC78" s="24">
        <v>0</v>
      </c>
      <c r="AD78" s="24"/>
      <c r="AE78" s="24">
        <f t="shared" si="4"/>
        <v>0</v>
      </c>
      <c r="AF78" s="25">
        <f>+'[1]St of Net Assets - GA'!W78-'[1]St of Activities - GA Exp'!AE78</f>
        <v>0</v>
      </c>
      <c r="AG78" s="28"/>
    </row>
    <row r="79" ht="12.75">
      <c r="AG79" s="28"/>
    </row>
    <row r="80" spans="25:33" ht="12.75">
      <c r="Y80" s="126" t="s">
        <v>253</v>
      </c>
      <c r="AG80" s="28"/>
    </row>
    <row r="81" spans="1:33" ht="12.75">
      <c r="A81" s="23" t="s">
        <v>178</v>
      </c>
      <c r="B81" s="24"/>
      <c r="C81" s="44">
        <v>11194300</v>
      </c>
      <c r="D81" s="44"/>
      <c r="E81" s="44">
        <v>7573605</v>
      </c>
      <c r="F81" s="44"/>
      <c r="G81" s="44">
        <v>14938094</v>
      </c>
      <c r="H81" s="44"/>
      <c r="I81" s="44">
        <v>7016519</v>
      </c>
      <c r="J81" s="44"/>
      <c r="K81" s="44">
        <v>31847521</v>
      </c>
      <c r="L81" s="44"/>
      <c r="M81" s="44">
        <v>29884718</v>
      </c>
      <c r="N81" s="44"/>
      <c r="O81" s="44">
        <v>72113</v>
      </c>
      <c r="P81" s="44"/>
      <c r="Q81" s="44">
        <v>223919</v>
      </c>
      <c r="R81" s="44"/>
      <c r="S81" s="44">
        <v>0</v>
      </c>
      <c r="T81" s="44"/>
      <c r="U81" s="44">
        <v>1313041</v>
      </c>
      <c r="V81" s="44"/>
      <c r="W81" s="44">
        <v>1826922</v>
      </c>
      <c r="X81" s="44"/>
      <c r="Y81" s="44">
        <f aca="true" t="shared" si="5" ref="Y81:Y87">SUM(C81:W81)</f>
        <v>105890752</v>
      </c>
      <c r="Z81" s="44"/>
      <c r="AA81" s="44">
        <v>1423078</v>
      </c>
      <c r="AB81" s="44"/>
      <c r="AC81" s="44">
        <v>131881808</v>
      </c>
      <c r="AD81" s="44"/>
      <c r="AE81" s="44">
        <f aca="true" t="shared" si="6" ref="AE81:AE87">+AC81+AA81</f>
        <v>133304886</v>
      </c>
      <c r="AF81" s="25">
        <f>+'[1]St of Net Assets - GA'!W79-'[1]St of Activities - GA Exp'!AE79</f>
        <v>0</v>
      </c>
      <c r="AG81" s="28"/>
    </row>
    <row r="82" spans="1:33" ht="12.75">
      <c r="A82" s="23" t="s">
        <v>69</v>
      </c>
      <c r="B82" s="24"/>
      <c r="C82" s="24">
        <v>6388693</v>
      </c>
      <c r="D82" s="24"/>
      <c r="E82" s="24">
        <v>3602469</v>
      </c>
      <c r="F82" s="24"/>
      <c r="G82" s="24">
        <v>10626470</v>
      </c>
      <c r="H82" s="24"/>
      <c r="I82" s="24">
        <v>7102563</v>
      </c>
      <c r="J82" s="24"/>
      <c r="K82" s="24">
        <v>618517</v>
      </c>
      <c r="L82" s="24"/>
      <c r="M82" s="24">
        <v>25885394</v>
      </c>
      <c r="N82" s="24"/>
      <c r="O82" s="24">
        <v>827859</v>
      </c>
      <c r="P82" s="24"/>
      <c r="Q82" s="24">
        <v>0</v>
      </c>
      <c r="R82" s="24"/>
      <c r="S82" s="24">
        <v>0</v>
      </c>
      <c r="T82" s="24"/>
      <c r="U82" s="24">
        <v>0</v>
      </c>
      <c r="V82" s="24"/>
      <c r="W82" s="24">
        <v>737698</v>
      </c>
      <c r="X82" s="24"/>
      <c r="Y82" s="24">
        <f t="shared" si="5"/>
        <v>55789663</v>
      </c>
      <c r="Z82" s="24"/>
      <c r="AA82" s="24">
        <v>2278855</v>
      </c>
      <c r="AB82" s="24"/>
      <c r="AC82" s="24">
        <v>35772434</v>
      </c>
      <c r="AD82" s="24"/>
      <c r="AE82" s="24">
        <f t="shared" si="6"/>
        <v>38051289</v>
      </c>
      <c r="AF82" s="25">
        <f>+'[1]St of Net Assets - GA'!W80-'[1]St of Activities - GA Exp'!AE80</f>
        <v>0</v>
      </c>
      <c r="AG82" s="28"/>
    </row>
    <row r="83" spans="1:33" ht="12.75">
      <c r="A83" s="23" t="s">
        <v>98</v>
      </c>
      <c r="B83" s="24"/>
      <c r="C83" s="24">
        <v>6172351</v>
      </c>
      <c r="D83" s="24"/>
      <c r="E83" s="24">
        <v>3462580</v>
      </c>
      <c r="F83" s="24"/>
      <c r="G83" s="24">
        <v>9815742</v>
      </c>
      <c r="H83" s="24"/>
      <c r="I83" s="24">
        <v>5868306</v>
      </c>
      <c r="J83" s="24"/>
      <c r="K83" s="24">
        <v>440844</v>
      </c>
      <c r="L83" s="24"/>
      <c r="M83" s="24">
        <v>21613433</v>
      </c>
      <c r="N83" s="24"/>
      <c r="O83" s="24">
        <v>357794</v>
      </c>
      <c r="P83" s="24"/>
      <c r="Q83" s="24">
        <v>0</v>
      </c>
      <c r="R83" s="24"/>
      <c r="S83" s="24">
        <v>534497</v>
      </c>
      <c r="T83" s="24"/>
      <c r="U83" s="24">
        <v>186600</v>
      </c>
      <c r="V83" s="24"/>
      <c r="W83" s="24">
        <v>241952</v>
      </c>
      <c r="X83" s="24"/>
      <c r="Y83" s="24">
        <f t="shared" si="5"/>
        <v>48694099</v>
      </c>
      <c r="Z83" s="24"/>
      <c r="AA83" s="24">
        <v>4513199</v>
      </c>
      <c r="AB83" s="24"/>
      <c r="AC83" s="24">
        <v>65275050</v>
      </c>
      <c r="AD83" s="24"/>
      <c r="AE83" s="24">
        <f t="shared" si="6"/>
        <v>69788249</v>
      </c>
      <c r="AF83" s="25">
        <f>+'[1]St of Net Assets - GA'!W82-'[1]St of Activities - GA Exp'!AE81</f>
        <v>0</v>
      </c>
      <c r="AG83" s="28"/>
    </row>
    <row r="84" spans="1:33" ht="12.75">
      <c r="A84" s="23" t="s">
        <v>70</v>
      </c>
      <c r="B84" s="24"/>
      <c r="C84" s="24">
        <v>7126541</v>
      </c>
      <c r="D84" s="24"/>
      <c r="E84" s="24">
        <v>2504990</v>
      </c>
      <c r="F84" s="24"/>
      <c r="G84" s="24">
        <f>6621680+3377077</f>
        <v>9998757</v>
      </c>
      <c r="H84" s="24"/>
      <c r="I84" s="24">
        <v>4854572</v>
      </c>
      <c r="J84" s="24"/>
      <c r="K84" s="24">
        <v>8278723</v>
      </c>
      <c r="L84" s="24"/>
      <c r="M84" s="24">
        <v>18995632</v>
      </c>
      <c r="N84" s="24"/>
      <c r="O84" s="24">
        <v>1092602</v>
      </c>
      <c r="P84" s="24"/>
      <c r="Q84" s="24">
        <v>541495</v>
      </c>
      <c r="R84" s="24"/>
      <c r="S84" s="24">
        <v>890909</v>
      </c>
      <c r="T84" s="24"/>
      <c r="U84" s="24">
        <v>0</v>
      </c>
      <c r="V84" s="24"/>
      <c r="W84" s="24">
        <v>904783</v>
      </c>
      <c r="X84" s="24"/>
      <c r="Y84" s="24">
        <f t="shared" si="5"/>
        <v>55189004</v>
      </c>
      <c r="Z84" s="24"/>
      <c r="AA84" s="24">
        <v>1292534</v>
      </c>
      <c r="AB84" s="24"/>
      <c r="AC84" s="24">
        <v>74589463</v>
      </c>
      <c r="AD84" s="24"/>
      <c r="AE84" s="24">
        <f t="shared" si="6"/>
        <v>75881997</v>
      </c>
      <c r="AF84" s="25">
        <f>+'[1]St of Net Assets - GA'!W83-'[1]St of Activities - GA Exp'!AE82</f>
        <v>0</v>
      </c>
      <c r="AG84" s="28"/>
    </row>
    <row r="85" spans="1:33" ht="12.75">
      <c r="A85" s="23" t="s">
        <v>71</v>
      </c>
      <c r="B85" s="24"/>
      <c r="C85" s="24">
        <v>5790786</v>
      </c>
      <c r="D85" s="24"/>
      <c r="E85" s="24">
        <v>2773759</v>
      </c>
      <c r="F85" s="24"/>
      <c r="G85" s="24">
        <v>6715525</v>
      </c>
      <c r="H85" s="24"/>
      <c r="I85" s="24">
        <v>6277234</v>
      </c>
      <c r="J85" s="24"/>
      <c r="K85" s="24">
        <v>7820101</v>
      </c>
      <c r="L85" s="24"/>
      <c r="M85" s="24">
        <v>10790484</v>
      </c>
      <c r="N85" s="24"/>
      <c r="O85" s="24">
        <v>698864</v>
      </c>
      <c r="P85" s="24"/>
      <c r="Q85" s="24">
        <v>995390</v>
      </c>
      <c r="R85" s="24"/>
      <c r="S85" s="24">
        <v>0</v>
      </c>
      <c r="T85" s="24"/>
      <c r="U85" s="24">
        <v>0</v>
      </c>
      <c r="V85" s="24"/>
      <c r="W85" s="24">
        <v>305815</v>
      </c>
      <c r="X85" s="24"/>
      <c r="Y85" s="24">
        <f t="shared" si="5"/>
        <v>42167958</v>
      </c>
      <c r="Z85" s="24"/>
      <c r="AA85" s="24">
        <v>351911</v>
      </c>
      <c r="AB85" s="24"/>
      <c r="AC85" s="24">
        <v>82088185</v>
      </c>
      <c r="AD85" s="24"/>
      <c r="AE85" s="24">
        <f t="shared" si="6"/>
        <v>82440096</v>
      </c>
      <c r="AF85" s="25">
        <f>+'[1]St of Net Assets - GA'!W84-'[1]St of Activities - GA Exp'!AE83</f>
        <v>0</v>
      </c>
      <c r="AG85" s="28"/>
    </row>
    <row r="86" spans="1:33" ht="12.75">
      <c r="A86" s="23" t="s">
        <v>72</v>
      </c>
      <c r="B86" s="24"/>
      <c r="C86" s="24">
        <v>4986451</v>
      </c>
      <c r="D86" s="24"/>
      <c r="E86" s="24">
        <v>2818610</v>
      </c>
      <c r="F86" s="24"/>
      <c r="G86" s="24">
        <v>4975947</v>
      </c>
      <c r="H86" s="24"/>
      <c r="I86" s="24">
        <v>9504799</v>
      </c>
      <c r="J86" s="24"/>
      <c r="K86" s="24">
        <v>240963</v>
      </c>
      <c r="L86" s="24"/>
      <c r="M86" s="24">
        <v>16413183</v>
      </c>
      <c r="N86" s="24"/>
      <c r="O86" s="24">
        <v>296047</v>
      </c>
      <c r="P86" s="24"/>
      <c r="Q86" s="24">
        <v>0</v>
      </c>
      <c r="R86" s="24"/>
      <c r="S86" s="24">
        <v>0</v>
      </c>
      <c r="T86" s="24"/>
      <c r="U86" s="24">
        <v>435055</v>
      </c>
      <c r="V86" s="24"/>
      <c r="W86" s="24">
        <v>61168</v>
      </c>
      <c r="X86" s="24"/>
      <c r="Y86" s="24">
        <f t="shared" si="5"/>
        <v>39732223</v>
      </c>
      <c r="Z86" s="24"/>
      <c r="AA86" s="24">
        <v>1954052</v>
      </c>
      <c r="AB86" s="24"/>
      <c r="AC86" s="24">
        <v>97140304</v>
      </c>
      <c r="AD86" s="24"/>
      <c r="AE86" s="24">
        <f t="shared" si="6"/>
        <v>99094356</v>
      </c>
      <c r="AF86" s="25">
        <f>+'[1]St of Net Assets - GA'!W85-'[1]St of Activities - GA Exp'!AE84</f>
        <v>0</v>
      </c>
      <c r="AG86" s="28"/>
    </row>
    <row r="87" spans="1:33" ht="12.75">
      <c r="A87" s="23" t="s">
        <v>73</v>
      </c>
      <c r="B87" s="24"/>
      <c r="C87" s="24">
        <v>21498216</v>
      </c>
      <c r="D87" s="24"/>
      <c r="E87" s="24">
        <v>16357878</v>
      </c>
      <c r="F87" s="24"/>
      <c r="G87" s="24">
        <v>28728769</v>
      </c>
      <c r="H87" s="24"/>
      <c r="I87" s="24">
        <v>21906207</v>
      </c>
      <c r="J87" s="24"/>
      <c r="K87" s="24">
        <v>80757758</v>
      </c>
      <c r="L87" s="24"/>
      <c r="M87" s="24">
        <v>70278053</v>
      </c>
      <c r="N87" s="24"/>
      <c r="O87" s="24">
        <v>0</v>
      </c>
      <c r="P87" s="24"/>
      <c r="Q87" s="24">
        <v>17193</v>
      </c>
      <c r="R87" s="24"/>
      <c r="S87" s="24">
        <v>4590703</v>
      </c>
      <c r="T87" s="24"/>
      <c r="U87" s="24">
        <v>8986247</v>
      </c>
      <c r="V87" s="24"/>
      <c r="W87" s="24">
        <v>260811</v>
      </c>
      <c r="X87" s="24"/>
      <c r="Y87" s="24">
        <f t="shared" si="5"/>
        <v>253381835</v>
      </c>
      <c r="Z87" s="24"/>
      <c r="AA87" s="24">
        <v>5528256</v>
      </c>
      <c r="AB87" s="24"/>
      <c r="AC87" s="24">
        <v>272607903</v>
      </c>
      <c r="AD87" s="24"/>
      <c r="AE87" s="24">
        <f t="shared" si="6"/>
        <v>278136159</v>
      </c>
      <c r="AF87" s="25">
        <f>+'[1]St of Net Assets - GA'!W86-'[1]St of Activities - GA Exp'!AE85</f>
        <v>0</v>
      </c>
      <c r="AG87" s="28"/>
    </row>
    <row r="88" spans="1:34" ht="12.75">
      <c r="A88" s="23" t="s">
        <v>74</v>
      </c>
      <c r="B88" s="24"/>
      <c r="C88" s="24">
        <v>40417528</v>
      </c>
      <c r="D88" s="24"/>
      <c r="E88" s="24">
        <v>32711197</v>
      </c>
      <c r="F88" s="24"/>
      <c r="G88" s="24">
        <v>80425632</v>
      </c>
      <c r="H88" s="24"/>
      <c r="I88" s="24">
        <v>18946497</v>
      </c>
      <c r="J88" s="24"/>
      <c r="K88" s="24">
        <v>122775019</v>
      </c>
      <c r="L88" s="24"/>
      <c r="M88" s="24">
        <v>132533795</v>
      </c>
      <c r="N88" s="24"/>
      <c r="O88" s="24">
        <v>3786088</v>
      </c>
      <c r="P88" s="24"/>
      <c r="Q88" s="24">
        <v>5868656</v>
      </c>
      <c r="R88" s="24"/>
      <c r="S88" s="24">
        <v>0</v>
      </c>
      <c r="T88" s="24"/>
      <c r="U88" s="24">
        <v>344252</v>
      </c>
      <c r="V88" s="24"/>
      <c r="W88" s="24">
        <v>3457361</v>
      </c>
      <c r="X88" s="24"/>
      <c r="Y88" s="24">
        <f t="shared" si="2"/>
        <v>441266025</v>
      </c>
      <c r="Z88" s="24"/>
      <c r="AA88" s="24">
        <v>4947383</v>
      </c>
      <c r="AB88" s="24"/>
      <c r="AC88" s="24">
        <v>399846756</v>
      </c>
      <c r="AD88" s="24"/>
      <c r="AE88" s="24">
        <f t="shared" si="4"/>
        <v>404794139</v>
      </c>
      <c r="AF88" s="25">
        <f>+'[1]St of Net Assets - GA'!W87-'[1]St of Activities - GA Exp'!AE87</f>
        <v>0</v>
      </c>
      <c r="AG88" s="25"/>
      <c r="AH88" s="39"/>
    </row>
    <row r="89" spans="1:33" ht="12.75">
      <c r="A89" s="23" t="s">
        <v>75</v>
      </c>
      <c r="B89" s="24"/>
      <c r="C89" s="24">
        <v>27690081</v>
      </c>
      <c r="D89" s="24"/>
      <c r="E89" s="24">
        <v>11169178</v>
      </c>
      <c r="F89" s="24"/>
      <c r="G89" s="24">
        <v>17967817</v>
      </c>
      <c r="H89" s="24"/>
      <c r="I89" s="24">
        <v>19593781</v>
      </c>
      <c r="J89" s="24"/>
      <c r="K89" s="24">
        <v>39939632</v>
      </c>
      <c r="L89" s="24"/>
      <c r="M89" s="24">
        <v>50491893</v>
      </c>
      <c r="N89" s="24"/>
      <c r="O89" s="24">
        <v>218579</v>
      </c>
      <c r="P89" s="24"/>
      <c r="Q89" s="24">
        <v>0</v>
      </c>
      <c r="R89" s="24"/>
      <c r="S89" s="24">
        <v>0</v>
      </c>
      <c r="T89" s="24"/>
      <c r="U89" s="24">
        <v>0</v>
      </c>
      <c r="V89" s="24"/>
      <c r="W89" s="24">
        <v>2560929</v>
      </c>
      <c r="X89" s="24"/>
      <c r="Y89" s="24">
        <f t="shared" si="2"/>
        <v>169631890</v>
      </c>
      <c r="Z89" s="24"/>
      <c r="AA89" s="24">
        <v>10466210</v>
      </c>
      <c r="AB89" s="24"/>
      <c r="AC89" s="24">
        <v>128251815</v>
      </c>
      <c r="AD89" s="24"/>
      <c r="AE89" s="24">
        <f t="shared" si="4"/>
        <v>138718025</v>
      </c>
      <c r="AF89" s="25">
        <f>+'[1]St of Net Assets - GA'!W88-'[1]St of Activities - GA Exp'!AE88</f>
        <v>0</v>
      </c>
      <c r="AG89" s="28"/>
    </row>
    <row r="90" spans="1:33" ht="12.75">
      <c r="A90" s="23" t="s">
        <v>76</v>
      </c>
      <c r="B90" s="24"/>
      <c r="C90" s="24">
        <f>6863553+1493238</f>
        <v>8356791</v>
      </c>
      <c r="D90" s="24"/>
      <c r="E90" s="24">
        <v>4093230</v>
      </c>
      <c r="F90" s="24"/>
      <c r="G90" s="24">
        <v>7062151</v>
      </c>
      <c r="H90" s="24"/>
      <c r="I90" s="24">
        <v>1372466</v>
      </c>
      <c r="J90" s="24"/>
      <c r="K90" s="24">
        <v>7072549</v>
      </c>
      <c r="L90" s="24"/>
      <c r="M90" s="24">
        <v>19395348</v>
      </c>
      <c r="N90" s="24"/>
      <c r="O90" s="24">
        <v>0</v>
      </c>
      <c r="P90" s="24"/>
      <c r="Q90" s="24">
        <v>446323</v>
      </c>
      <c r="R90" s="24"/>
      <c r="S90" s="24">
        <v>0</v>
      </c>
      <c r="T90" s="24"/>
      <c r="U90" s="24">
        <v>2507776</v>
      </c>
      <c r="V90" s="24"/>
      <c r="W90" s="24">
        <v>55358</v>
      </c>
      <c r="X90" s="24"/>
      <c r="Y90" s="24">
        <f t="shared" si="2"/>
        <v>50361992</v>
      </c>
      <c r="Z90" s="24"/>
      <c r="AA90" s="24">
        <v>9179364</v>
      </c>
      <c r="AB90" s="24"/>
      <c r="AC90" s="24">
        <v>133047678</v>
      </c>
      <c r="AD90" s="24"/>
      <c r="AE90" s="24">
        <f t="shared" si="4"/>
        <v>142227042</v>
      </c>
      <c r="AF90" s="25">
        <f>+'[1]St of Net Assets - GA'!W89-'[1]St of Activities - GA Exp'!AE89</f>
        <v>0</v>
      </c>
      <c r="AG90" s="28"/>
    </row>
    <row r="91" spans="1:33" ht="12.75">
      <c r="A91" s="23" t="s">
        <v>77</v>
      </c>
      <c r="B91" s="24"/>
      <c r="C91" s="24">
        <v>11990209</v>
      </c>
      <c r="D91" s="24"/>
      <c r="E91" s="24">
        <v>2371200</v>
      </c>
      <c r="F91" s="24"/>
      <c r="G91" s="24">
        <v>6735640</v>
      </c>
      <c r="H91" s="24"/>
      <c r="I91" s="24">
        <v>3341555</v>
      </c>
      <c r="J91" s="24"/>
      <c r="K91" s="24">
        <v>3834944</v>
      </c>
      <c r="L91" s="24"/>
      <c r="M91" s="24">
        <v>13834546</v>
      </c>
      <c r="N91" s="24"/>
      <c r="O91" s="24">
        <v>298297</v>
      </c>
      <c r="P91" s="24"/>
      <c r="Q91" s="24">
        <v>0</v>
      </c>
      <c r="R91" s="24"/>
      <c r="S91" s="24">
        <v>0</v>
      </c>
      <c r="T91" s="24"/>
      <c r="U91" s="24">
        <v>0</v>
      </c>
      <c r="V91" s="24"/>
      <c r="W91" s="24">
        <v>328586</v>
      </c>
      <c r="X91" s="24"/>
      <c r="Y91" s="24">
        <f t="shared" si="2"/>
        <v>42734977</v>
      </c>
      <c r="Z91" s="24"/>
      <c r="AA91" s="24">
        <v>7779509</v>
      </c>
      <c r="AB91" s="24"/>
      <c r="AC91" s="24">
        <v>79459009</v>
      </c>
      <c r="AD91" s="24"/>
      <c r="AE91" s="24">
        <f t="shared" si="4"/>
        <v>87238518</v>
      </c>
      <c r="AF91" s="25">
        <f>+'[1]St of Net Assets - GA'!W90-'[1]St of Activities - GA Exp'!AE90</f>
        <v>0</v>
      </c>
      <c r="AG91" s="28"/>
    </row>
    <row r="92" spans="1:33" ht="12.75">
      <c r="A92" s="23" t="s">
        <v>78</v>
      </c>
      <c r="B92" s="24"/>
      <c r="C92" s="24">
        <v>4950066</v>
      </c>
      <c r="D92" s="24"/>
      <c r="E92" s="24">
        <v>1457366</v>
      </c>
      <c r="F92" s="24"/>
      <c r="G92" s="24">
        <v>3171086</v>
      </c>
      <c r="H92" s="24"/>
      <c r="I92" s="24">
        <v>3364977</v>
      </c>
      <c r="J92" s="24"/>
      <c r="K92" s="24">
        <v>91802</v>
      </c>
      <c r="L92" s="24"/>
      <c r="M92" s="24">
        <v>7390517</v>
      </c>
      <c r="N92" s="24"/>
      <c r="O92" s="24">
        <v>1279171</v>
      </c>
      <c r="P92" s="24"/>
      <c r="Q92" s="24">
        <v>16633</v>
      </c>
      <c r="R92" s="24"/>
      <c r="S92" s="24">
        <v>0</v>
      </c>
      <c r="T92" s="24"/>
      <c r="U92" s="24">
        <v>266906</v>
      </c>
      <c r="V92" s="24"/>
      <c r="W92" s="24">
        <v>301011</v>
      </c>
      <c r="X92" s="24"/>
      <c r="Y92" s="24">
        <f t="shared" si="2"/>
        <v>22289535</v>
      </c>
      <c r="Z92" s="24"/>
      <c r="AA92" s="24">
        <v>931541</v>
      </c>
      <c r="AB92" s="24"/>
      <c r="AC92" s="24">
        <v>29561027</v>
      </c>
      <c r="AD92" s="24"/>
      <c r="AE92" s="24">
        <f t="shared" si="4"/>
        <v>30492568</v>
      </c>
      <c r="AF92" s="25">
        <f>+'[1]St of Net Assets - GA'!W91-'[1]St of Activities - GA Exp'!AE91</f>
        <v>0</v>
      </c>
      <c r="AG92" s="28"/>
    </row>
    <row r="93" spans="1:33" ht="12.75" hidden="1">
      <c r="A93" s="23" t="s">
        <v>79</v>
      </c>
      <c r="B93" s="24"/>
      <c r="C93" s="24">
        <v>0</v>
      </c>
      <c r="D93" s="24"/>
      <c r="E93" s="24">
        <v>0</v>
      </c>
      <c r="F93" s="24"/>
      <c r="G93" s="24">
        <v>0</v>
      </c>
      <c r="H93" s="24"/>
      <c r="I93" s="24">
        <v>0</v>
      </c>
      <c r="J93" s="24"/>
      <c r="K93" s="24"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v>0</v>
      </c>
      <c r="T93" s="24"/>
      <c r="U93" s="24">
        <v>0</v>
      </c>
      <c r="V93" s="24"/>
      <c r="W93" s="24">
        <v>0</v>
      </c>
      <c r="X93" s="24"/>
      <c r="Y93" s="24">
        <f t="shared" si="2"/>
        <v>0</v>
      </c>
      <c r="Z93" s="24"/>
      <c r="AA93" s="24">
        <v>0</v>
      </c>
      <c r="AB93" s="24"/>
      <c r="AC93" s="24">
        <v>0</v>
      </c>
      <c r="AD93" s="24"/>
      <c r="AE93" s="24">
        <f t="shared" si="4"/>
        <v>0</v>
      </c>
      <c r="AF93" s="25">
        <f>+'[1]St of Net Assets - GA'!W92-'[1]St of Activities - GA Exp'!AE92</f>
        <v>0</v>
      </c>
      <c r="AG93" s="28"/>
    </row>
    <row r="94" spans="1:33" ht="12.75">
      <c r="A94" s="23" t="s">
        <v>80</v>
      </c>
      <c r="B94" s="24"/>
      <c r="C94" s="24">
        <v>20420763</v>
      </c>
      <c r="D94" s="24"/>
      <c r="E94" s="24">
        <v>10964956</v>
      </c>
      <c r="F94" s="24"/>
      <c r="G94" s="24">
        <v>25536922</v>
      </c>
      <c r="H94" s="24"/>
      <c r="I94" s="24">
        <v>18342826</v>
      </c>
      <c r="J94" s="24"/>
      <c r="K94" s="24">
        <v>610409</v>
      </c>
      <c r="L94" s="24"/>
      <c r="M94" s="24">
        <v>38359310</v>
      </c>
      <c r="N94" s="24"/>
      <c r="O94" s="24">
        <v>1430122</v>
      </c>
      <c r="P94" s="24"/>
      <c r="Q94" s="24">
        <v>0</v>
      </c>
      <c r="R94" s="24"/>
      <c r="S94" s="24">
        <v>0</v>
      </c>
      <c r="T94" s="24"/>
      <c r="U94" s="24">
        <v>0</v>
      </c>
      <c r="V94" s="24"/>
      <c r="W94" s="24">
        <v>1209055</v>
      </c>
      <c r="X94" s="24"/>
      <c r="Y94" s="24">
        <f aca="true" t="shared" si="7" ref="Y94:Y99">SUM(C94:W94)</f>
        <v>116874363</v>
      </c>
      <c r="Z94" s="24"/>
      <c r="AA94" s="24">
        <v>14780866</v>
      </c>
      <c r="AB94" s="24"/>
      <c r="AC94" s="24">
        <v>182855487</v>
      </c>
      <c r="AD94" s="24"/>
      <c r="AE94" s="24">
        <f t="shared" si="4"/>
        <v>197636353</v>
      </c>
      <c r="AF94" s="25">
        <f>+'[1]St of Net Assets - GA'!W93-'[1]St of Activities - GA Exp'!AE93</f>
        <v>0</v>
      </c>
      <c r="AG94" s="28"/>
    </row>
    <row r="95" spans="1:33" ht="12.75">
      <c r="A95" s="23" t="s">
        <v>81</v>
      </c>
      <c r="B95" s="24"/>
      <c r="C95" s="24">
        <v>5840850</v>
      </c>
      <c r="D95" s="24"/>
      <c r="E95" s="24">
        <v>1737246</v>
      </c>
      <c r="F95" s="24"/>
      <c r="G95" s="24">
        <v>8077131</v>
      </c>
      <c r="H95" s="24"/>
      <c r="I95" s="24">
        <f>8134472+751474</f>
        <v>8885946</v>
      </c>
      <c r="J95" s="24"/>
      <c r="K95" s="24">
        <f>5673724+6456136+2474205+252302</f>
        <v>14856367</v>
      </c>
      <c r="L95" s="24"/>
      <c r="M95" s="24">
        <f>891920+2777336+8769755+1560430</f>
        <v>13999441</v>
      </c>
      <c r="N95" s="24"/>
      <c r="O95" s="24">
        <f>617474+730685</f>
        <v>1348159</v>
      </c>
      <c r="P95" s="24"/>
      <c r="Q95" s="24">
        <v>0</v>
      </c>
      <c r="R95" s="24"/>
      <c r="S95" s="24">
        <v>0</v>
      </c>
      <c r="T95" s="24"/>
      <c r="U95" s="24">
        <v>0</v>
      </c>
      <c r="V95" s="24"/>
      <c r="W95" s="24">
        <v>375759</v>
      </c>
      <c r="X95" s="24"/>
      <c r="Y95" s="24">
        <f t="shared" si="7"/>
        <v>55120899</v>
      </c>
      <c r="Z95" s="24"/>
      <c r="AA95" s="24">
        <v>501008</v>
      </c>
      <c r="AB95" s="24"/>
      <c r="AC95" s="24">
        <v>161856985</v>
      </c>
      <c r="AD95" s="24"/>
      <c r="AE95" s="24">
        <f t="shared" si="4"/>
        <v>162357993</v>
      </c>
      <c r="AF95" s="25">
        <f>+'[1]St of Net Assets - GA'!W94-'[1]St of Activities - GA Exp'!AE94</f>
        <v>0</v>
      </c>
      <c r="AG95" s="28"/>
    </row>
    <row r="96" spans="1:33" ht="12.75">
      <c r="A96" s="23" t="s">
        <v>82</v>
      </c>
      <c r="B96" s="24"/>
      <c r="C96" s="24">
        <v>10659605</v>
      </c>
      <c r="D96" s="24"/>
      <c r="E96" s="24">
        <v>6176742</v>
      </c>
      <c r="F96" s="24"/>
      <c r="G96" s="24">
        <v>11329681</v>
      </c>
      <c r="H96" s="24"/>
      <c r="I96" s="24">
        <v>10647940</v>
      </c>
      <c r="J96" s="24"/>
      <c r="K96" s="24">
        <v>515654</v>
      </c>
      <c r="L96" s="24"/>
      <c r="M96" s="24">
        <v>36572367</v>
      </c>
      <c r="N96" s="24"/>
      <c r="O96" s="24">
        <f>631645+193122</f>
        <v>824767</v>
      </c>
      <c r="P96" s="24"/>
      <c r="Q96" s="24">
        <v>86029</v>
      </c>
      <c r="R96" s="24"/>
      <c r="S96" s="24">
        <v>748260</v>
      </c>
      <c r="T96" s="24"/>
      <c r="U96" s="24">
        <v>0</v>
      </c>
      <c r="V96" s="24"/>
      <c r="W96" s="24">
        <v>487641</v>
      </c>
      <c r="X96" s="24"/>
      <c r="Y96" s="24">
        <f t="shared" si="7"/>
        <v>78048686</v>
      </c>
      <c r="Z96" s="24"/>
      <c r="AA96" s="24">
        <v>1806132</v>
      </c>
      <c r="AB96" s="24"/>
      <c r="AC96" s="24">
        <v>119282182</v>
      </c>
      <c r="AD96" s="24"/>
      <c r="AE96" s="24">
        <f>+AC96+AA96</f>
        <v>121088314</v>
      </c>
      <c r="AF96" s="25">
        <f>+'[1]St of Net Assets - GA'!W95-'[1]St of Activities - GA Exp'!AE95</f>
        <v>0</v>
      </c>
      <c r="AG96" s="28"/>
    </row>
    <row r="97" spans="1:33" ht="12.75" hidden="1">
      <c r="A97" s="23" t="s">
        <v>174</v>
      </c>
      <c r="B97" s="24"/>
      <c r="C97" s="24">
        <v>0</v>
      </c>
      <c r="D97" s="24"/>
      <c r="E97" s="24">
        <v>0</v>
      </c>
      <c r="F97" s="24"/>
      <c r="G97" s="24">
        <v>0</v>
      </c>
      <c r="H97" s="24"/>
      <c r="I97" s="24">
        <v>0</v>
      </c>
      <c r="J97" s="24"/>
      <c r="K97" s="24"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v>0</v>
      </c>
      <c r="T97" s="24"/>
      <c r="U97" s="24">
        <v>0</v>
      </c>
      <c r="V97" s="24"/>
      <c r="W97" s="24">
        <v>0</v>
      </c>
      <c r="X97" s="24"/>
      <c r="Y97" s="24">
        <f t="shared" si="7"/>
        <v>0</v>
      </c>
      <c r="Z97" s="24"/>
      <c r="AA97" s="24">
        <v>0</v>
      </c>
      <c r="AB97" s="24"/>
      <c r="AC97" s="24">
        <v>0</v>
      </c>
      <c r="AD97" s="24"/>
      <c r="AE97" s="24">
        <f t="shared" si="4"/>
        <v>0</v>
      </c>
      <c r="AF97" s="25">
        <f>+'[1]St of Net Assets - GA'!W96-'[1]St of Activities - GA Exp'!AE96</f>
        <v>0</v>
      </c>
      <c r="AG97" s="28"/>
    </row>
    <row r="98" spans="1:33" ht="12.75">
      <c r="A98" s="23" t="s">
        <v>83</v>
      </c>
      <c r="B98" s="24"/>
      <c r="C98" s="24">
        <f>17789568+502346+1418064</f>
        <v>19709978</v>
      </c>
      <c r="D98" s="24"/>
      <c r="E98" s="24">
        <v>7876314</v>
      </c>
      <c r="F98" s="24"/>
      <c r="G98" s="24">
        <v>8193165</v>
      </c>
      <c r="H98" s="24"/>
      <c r="I98" s="24">
        <v>9396403</v>
      </c>
      <c r="J98" s="24"/>
      <c r="K98" s="24">
        <f>+13454378+628595</f>
        <v>14082973</v>
      </c>
      <c r="L98" s="24"/>
      <c r="M98" s="24">
        <f>10229599+2052623+25431379+2641010</f>
        <v>40354611</v>
      </c>
      <c r="N98" s="24"/>
      <c r="O98" s="24">
        <v>1269256</v>
      </c>
      <c r="P98" s="24"/>
      <c r="Q98" s="24">
        <v>301984</v>
      </c>
      <c r="R98" s="24"/>
      <c r="S98" s="24">
        <v>0</v>
      </c>
      <c r="T98" s="24"/>
      <c r="U98" s="24">
        <v>0</v>
      </c>
      <c r="V98" s="24"/>
      <c r="W98" s="24">
        <v>429053</v>
      </c>
      <c r="X98" s="24"/>
      <c r="Y98" s="24">
        <f t="shared" si="7"/>
        <v>101613737</v>
      </c>
      <c r="Z98" s="24"/>
      <c r="AA98" s="24">
        <v>10987452</v>
      </c>
      <c r="AB98" s="24"/>
      <c r="AC98" s="24">
        <v>149038906</v>
      </c>
      <c r="AD98" s="24"/>
      <c r="AE98" s="24">
        <f t="shared" si="4"/>
        <v>160026358</v>
      </c>
      <c r="AF98" s="25">
        <f>+'[1]St of Net Assets - GA'!W97-'[1]St of Activities - GA Exp'!AE97</f>
        <v>0</v>
      </c>
      <c r="AG98" s="28"/>
    </row>
    <row r="99" spans="1:33" ht="12.75" hidden="1">
      <c r="A99" s="23" t="s">
        <v>175</v>
      </c>
      <c r="B99" s="24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>
        <v>0</v>
      </c>
      <c r="V99" s="24"/>
      <c r="W99" s="24">
        <v>0</v>
      </c>
      <c r="X99" s="24"/>
      <c r="Y99" s="24">
        <f t="shared" si="7"/>
        <v>0</v>
      </c>
      <c r="Z99" s="24"/>
      <c r="AA99" s="24">
        <v>0</v>
      </c>
      <c r="AB99" s="24"/>
      <c r="AC99" s="24">
        <v>0</v>
      </c>
      <c r="AD99" s="24"/>
      <c r="AE99" s="24">
        <f>+AC99+AA99</f>
        <v>0</v>
      </c>
      <c r="AF99" s="25">
        <f>+'St of Net Assets - GA'!W99-'St of Activities - GA Exp'!AE99</f>
        <v>0</v>
      </c>
      <c r="AG99" s="28"/>
    </row>
    <row r="100" spans="1:33" ht="12.75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8"/>
    </row>
    <row r="101" spans="1:33" ht="12.7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8"/>
    </row>
    <row r="102" spans="1:33" ht="12.75">
      <c r="A102" s="3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8"/>
    </row>
    <row r="103" spans="1:33" ht="12.75">
      <c r="A103" s="3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8"/>
    </row>
    <row r="104" spans="2:33" ht="12.7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8"/>
    </row>
    <row r="105" spans="2:32" ht="12.7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96"/>
      <c r="Z105" s="39"/>
      <c r="AA105" s="39"/>
      <c r="AB105" s="39"/>
      <c r="AC105" s="39"/>
      <c r="AD105" s="39"/>
      <c r="AE105" s="96"/>
      <c r="AF105" s="25"/>
    </row>
    <row r="106" spans="2:31" ht="12.7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96"/>
      <c r="Z106" s="39"/>
      <c r="AA106" s="39"/>
      <c r="AB106" s="39"/>
      <c r="AC106" s="39"/>
      <c r="AD106" s="39"/>
      <c r="AE106" s="96"/>
    </row>
    <row r="107" spans="2:31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96"/>
      <c r="Z107" s="39"/>
      <c r="AA107" s="39"/>
      <c r="AB107" s="39"/>
      <c r="AC107" s="39"/>
      <c r="AD107" s="39"/>
      <c r="AE107" s="96"/>
    </row>
    <row r="108" spans="2:31" ht="12.7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96"/>
      <c r="Z108" s="39"/>
      <c r="AA108" s="39"/>
      <c r="AB108" s="39"/>
      <c r="AC108" s="39"/>
      <c r="AD108" s="39"/>
      <c r="AE108" s="96"/>
    </row>
    <row r="109" spans="2:31" ht="12.7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96"/>
      <c r="Z109" s="39"/>
      <c r="AA109" s="39"/>
      <c r="AB109" s="39"/>
      <c r="AC109" s="39"/>
      <c r="AD109" s="39"/>
      <c r="AE109" s="96"/>
    </row>
    <row r="110" spans="2:31" ht="12.7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96"/>
      <c r="Z110" s="39"/>
      <c r="AA110" s="39"/>
      <c r="AB110" s="39"/>
      <c r="AC110" s="39"/>
      <c r="AD110" s="39"/>
      <c r="AE110" s="96"/>
    </row>
  </sheetData>
  <sheetProtection/>
  <printOptions/>
  <pageMargins left="1" right="1" top="0.5" bottom="0.5" header="0" footer="0.25"/>
  <pageSetup firstPageNumber="12" useFirstPageNumber="1" horizontalDpi="600" verticalDpi="600" orientation="portrait" pageOrder="overThenDown" scale="85" r:id="rId1"/>
  <headerFooter alignWithMargins="0">
    <oddFooter>&amp;C&amp;"Times New Roman,Regular"&amp;11&amp;P</oddFooter>
  </headerFooter>
  <rowBreaks count="1" manualBreakCount="1">
    <brk id="80" max="24" man="1"/>
  </rowBreaks>
  <colBreaks count="1" manualBreakCount="1">
    <brk id="14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Q101"/>
  <sheetViews>
    <sheetView zoomScalePageLayoutView="0" workbookViewId="0" topLeftCell="A1">
      <pane xSplit="1" ySplit="9" topLeftCell="B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75" sqref="O75"/>
    </sheetView>
  </sheetViews>
  <sheetFormatPr defaultColWidth="9.140625" defaultRowHeight="12.75"/>
  <cols>
    <col min="1" max="1" width="15.7109375" style="97" customWidth="1"/>
    <col min="2" max="2" width="1.7109375" style="26" customWidth="1"/>
    <col min="3" max="3" width="12.7109375" style="25" customWidth="1"/>
    <col min="4" max="4" width="1.7109375" style="25" customWidth="1"/>
    <col min="5" max="5" width="12.7109375" style="25" customWidth="1"/>
    <col min="6" max="6" width="1.7109375" style="25" customWidth="1"/>
    <col min="7" max="7" width="12.7109375" style="25" customWidth="1"/>
    <col min="8" max="8" width="1.7109375" style="25" customWidth="1"/>
    <col min="9" max="9" width="12.7109375" style="25" customWidth="1"/>
    <col min="10" max="10" width="1.7109375" style="25" customWidth="1"/>
    <col min="11" max="11" width="12.7109375" style="25" customWidth="1"/>
    <col min="12" max="12" width="1.7109375" style="25" customWidth="1"/>
    <col min="13" max="13" width="12.7109375" style="25" customWidth="1"/>
    <col min="14" max="14" width="1.7109375" style="25" customWidth="1"/>
    <col min="15" max="15" width="12.7109375" style="25" customWidth="1"/>
    <col min="16" max="16" width="9.28125" style="26" bestFit="1" customWidth="1"/>
    <col min="17" max="17" width="12.7109375" style="97" customWidth="1"/>
    <col min="18" max="16384" width="9.140625" style="26" customWidth="1"/>
  </cols>
  <sheetData>
    <row r="1" spans="1:16" ht="12.75">
      <c r="A1" s="57" t="s">
        <v>199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</row>
    <row r="2" spans="1:16" ht="12.75">
      <c r="A2" s="57" t="s">
        <v>247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2.75">
      <c r="A3" s="59"/>
      <c r="B3" s="5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9"/>
    </row>
    <row r="4" spans="1:16" ht="12.75">
      <c r="A4" s="49" t="s">
        <v>184</v>
      </c>
      <c r="B4" s="19"/>
      <c r="C4" s="21"/>
      <c r="D4" s="21"/>
      <c r="E4" s="21"/>
      <c r="F4" s="21"/>
      <c r="G4" s="21"/>
      <c r="H4" s="21"/>
      <c r="I4" s="21"/>
      <c r="J4" s="21"/>
      <c r="P4" s="36"/>
    </row>
    <row r="5" spans="1:16" ht="12.75">
      <c r="A5" s="49"/>
      <c r="B5" s="19"/>
      <c r="C5" s="21"/>
      <c r="D5" s="21"/>
      <c r="E5" s="21"/>
      <c r="F5" s="21"/>
      <c r="G5" s="21"/>
      <c r="H5" s="21"/>
      <c r="I5" s="21"/>
      <c r="J5" s="21"/>
      <c r="P5" s="36"/>
    </row>
    <row r="6" spans="1:16" ht="12.75">
      <c r="A6" s="49" t="s">
        <v>253</v>
      </c>
      <c r="B6" s="19"/>
      <c r="C6" s="21"/>
      <c r="D6" s="21"/>
      <c r="E6" s="21"/>
      <c r="F6" s="21"/>
      <c r="G6" s="21"/>
      <c r="H6" s="21"/>
      <c r="I6" s="21"/>
      <c r="J6" s="21"/>
      <c r="K6" s="21" t="s">
        <v>117</v>
      </c>
      <c r="L6" s="21"/>
      <c r="M6" s="21" t="s">
        <v>235</v>
      </c>
      <c r="N6" s="21"/>
      <c r="O6" s="21" t="s">
        <v>4</v>
      </c>
      <c r="P6" s="36"/>
    </row>
    <row r="7" spans="1:16" ht="12.75">
      <c r="A7" s="19"/>
      <c r="B7" s="19"/>
      <c r="C7" s="21" t="s">
        <v>118</v>
      </c>
      <c r="D7" s="21"/>
      <c r="E7" s="21" t="s">
        <v>4</v>
      </c>
      <c r="F7" s="21"/>
      <c r="G7" s="21" t="s">
        <v>119</v>
      </c>
      <c r="H7" s="21"/>
      <c r="I7" s="21" t="s">
        <v>4</v>
      </c>
      <c r="J7" s="21"/>
      <c r="K7" s="21" t="s">
        <v>120</v>
      </c>
      <c r="L7" s="21"/>
      <c r="M7" s="21" t="s">
        <v>120</v>
      </c>
      <c r="N7" s="21"/>
      <c r="O7" s="21" t="s">
        <v>120</v>
      </c>
      <c r="P7" s="36"/>
    </row>
    <row r="8" spans="1:17" s="60" customFormat="1" ht="12.75">
      <c r="A8" s="22" t="s">
        <v>5</v>
      </c>
      <c r="B8" s="19"/>
      <c r="C8" s="20" t="s">
        <v>121</v>
      </c>
      <c r="D8" s="21"/>
      <c r="E8" s="20" t="s">
        <v>116</v>
      </c>
      <c r="F8" s="21"/>
      <c r="G8" s="20" t="s">
        <v>11</v>
      </c>
      <c r="H8" s="21"/>
      <c r="I8" s="20" t="s">
        <v>122</v>
      </c>
      <c r="J8" s="21"/>
      <c r="K8" s="20" t="s">
        <v>123</v>
      </c>
      <c r="L8" s="21"/>
      <c r="M8" s="20" t="s">
        <v>123</v>
      </c>
      <c r="N8" s="21"/>
      <c r="O8" s="20" t="s">
        <v>123</v>
      </c>
      <c r="P8" s="36"/>
      <c r="Q8" s="28" t="s">
        <v>206</v>
      </c>
    </row>
    <row r="9" spans="1:16" ht="12.75">
      <c r="A9" s="1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17" ht="12.75" hidden="1">
      <c r="A10" s="89" t="s">
        <v>237</v>
      </c>
      <c r="B10" s="19"/>
      <c r="C10" s="61">
        <v>0</v>
      </c>
      <c r="D10" s="61"/>
      <c r="E10" s="61">
        <v>0</v>
      </c>
      <c r="F10" s="61"/>
      <c r="G10" s="61">
        <v>0</v>
      </c>
      <c r="H10" s="61"/>
      <c r="I10" s="61">
        <v>0</v>
      </c>
      <c r="J10" s="61"/>
      <c r="K10" s="61">
        <v>0</v>
      </c>
      <c r="L10" s="61"/>
      <c r="M10" s="61">
        <v>0</v>
      </c>
      <c r="N10" s="61"/>
      <c r="O10" s="61">
        <f>+M10+K10</f>
        <v>0</v>
      </c>
      <c r="P10" s="40"/>
      <c r="Q10" s="96">
        <f>+E10-I10-O10</f>
        <v>0</v>
      </c>
    </row>
    <row r="11" spans="1:17" ht="12.75">
      <c r="A11" s="23" t="s">
        <v>13</v>
      </c>
      <c r="B11" s="23"/>
      <c r="C11" s="61">
        <f>1942341+6890</f>
        <v>1949231</v>
      </c>
      <c r="D11" s="61"/>
      <c r="E11" s="61">
        <v>10175236</v>
      </c>
      <c r="F11" s="61"/>
      <c r="G11" s="61">
        <v>6030967</v>
      </c>
      <c r="H11" s="61"/>
      <c r="I11" s="61">
        <v>8002300</v>
      </c>
      <c r="J11" s="61"/>
      <c r="K11" s="61">
        <f>191788+161177+1266980</f>
        <v>1619945</v>
      </c>
      <c r="L11" s="61"/>
      <c r="M11" s="61">
        <v>552991</v>
      </c>
      <c r="N11" s="61"/>
      <c r="O11" s="61">
        <f>+M11+K11</f>
        <v>2172936</v>
      </c>
      <c r="P11" s="40"/>
      <c r="Q11" s="96">
        <f>+E11-I11-O11</f>
        <v>0</v>
      </c>
    </row>
    <row r="12" spans="1:17" ht="13.5" customHeight="1">
      <c r="A12" s="23" t="s">
        <v>14</v>
      </c>
      <c r="B12" s="23"/>
      <c r="C12" s="40">
        <f>3561156+44</f>
        <v>3561200</v>
      </c>
      <c r="D12" s="40"/>
      <c r="E12" s="40">
        <v>8097457</v>
      </c>
      <c r="F12" s="40"/>
      <c r="G12" s="40">
        <v>3787349</v>
      </c>
      <c r="H12" s="40"/>
      <c r="I12" s="40">
        <v>4276775</v>
      </c>
      <c r="J12" s="40"/>
      <c r="K12" s="40">
        <f>64692+1021627</f>
        <v>1086319</v>
      </c>
      <c r="L12" s="40"/>
      <c r="M12" s="40">
        <v>2734363</v>
      </c>
      <c r="N12" s="40"/>
      <c r="O12" s="40">
        <f aca="true" t="shared" si="0" ref="O12:O28">+M12+K12</f>
        <v>3820682</v>
      </c>
      <c r="P12" s="40"/>
      <c r="Q12" s="96">
        <f aca="true" t="shared" si="1" ref="Q12:Q28">+E12-I12-O12</f>
        <v>0</v>
      </c>
    </row>
    <row r="13" spans="1:17" ht="12.75">
      <c r="A13" s="23" t="s">
        <v>15</v>
      </c>
      <c r="B13" s="23"/>
      <c r="C13" s="40">
        <f>3373569+5693</f>
        <v>3379262</v>
      </c>
      <c r="D13" s="40"/>
      <c r="E13" s="40">
        <v>9612592</v>
      </c>
      <c r="F13" s="40"/>
      <c r="G13" s="40">
        <v>4761763</v>
      </c>
      <c r="H13" s="40"/>
      <c r="I13" s="40">
        <v>5510598</v>
      </c>
      <c r="J13" s="40"/>
      <c r="K13" s="40">
        <f>340125+90000</f>
        <v>430125</v>
      </c>
      <c r="L13" s="40"/>
      <c r="M13" s="40">
        <v>3671869</v>
      </c>
      <c r="N13" s="40"/>
      <c r="O13" s="40">
        <f t="shared" si="0"/>
        <v>4101994</v>
      </c>
      <c r="P13" s="40"/>
      <c r="Q13" s="96">
        <f t="shared" si="1"/>
        <v>0</v>
      </c>
    </row>
    <row r="14" spans="1:17" ht="12.75">
      <c r="A14" s="23" t="s">
        <v>16</v>
      </c>
      <c r="B14" s="23"/>
      <c r="C14" s="40">
        <f>2511942+26444</f>
        <v>2538386</v>
      </c>
      <c r="D14" s="40"/>
      <c r="E14" s="40">
        <v>6068485</v>
      </c>
      <c r="F14" s="40"/>
      <c r="G14" s="40">
        <v>2020945</v>
      </c>
      <c r="H14" s="40"/>
      <c r="I14" s="40">
        <v>2557570</v>
      </c>
      <c r="J14" s="40"/>
      <c r="K14" s="40">
        <v>3773</v>
      </c>
      <c r="L14" s="40"/>
      <c r="M14" s="40">
        <f>3507142</f>
        <v>3507142</v>
      </c>
      <c r="N14" s="40"/>
      <c r="O14" s="40">
        <f t="shared" si="0"/>
        <v>3510915</v>
      </c>
      <c r="P14" s="40"/>
      <c r="Q14" s="96">
        <f t="shared" si="1"/>
        <v>0</v>
      </c>
    </row>
    <row r="15" spans="1:17" ht="12.75">
      <c r="A15" s="23" t="s">
        <v>17</v>
      </c>
      <c r="B15" s="23"/>
      <c r="C15" s="40">
        <f>2912943</f>
        <v>2912943</v>
      </c>
      <c r="D15" s="40"/>
      <c r="E15" s="40">
        <v>6865994</v>
      </c>
      <c r="F15" s="40"/>
      <c r="G15" s="40">
        <v>2390854</v>
      </c>
      <c r="H15" s="40"/>
      <c r="I15" s="40">
        <v>2953578</v>
      </c>
      <c r="J15" s="40"/>
      <c r="K15" s="40">
        <f>86823+19200</f>
        <v>106023</v>
      </c>
      <c r="L15" s="40"/>
      <c r="M15" s="40">
        <v>3806393</v>
      </c>
      <c r="N15" s="40"/>
      <c r="O15" s="40">
        <f t="shared" si="0"/>
        <v>3912416</v>
      </c>
      <c r="P15" s="40"/>
      <c r="Q15" s="96">
        <f t="shared" si="1"/>
        <v>0</v>
      </c>
    </row>
    <row r="16" spans="1:17" ht="12.75">
      <c r="A16" s="23" t="s">
        <v>18</v>
      </c>
      <c r="B16" s="23"/>
      <c r="C16" s="40">
        <f>3684803+5306</f>
        <v>3690109</v>
      </c>
      <c r="D16" s="40"/>
      <c r="E16" s="40">
        <v>10180253</v>
      </c>
      <c r="F16" s="40"/>
      <c r="G16" s="40">
        <v>2632348</v>
      </c>
      <c r="H16" s="40"/>
      <c r="I16" s="40">
        <v>3392755</v>
      </c>
      <c r="J16" s="40"/>
      <c r="K16" s="40">
        <f>1817176+1239213+35188</f>
        <v>3091577</v>
      </c>
      <c r="L16" s="40"/>
      <c r="M16" s="40">
        <f>136220+3559701</f>
        <v>3695921</v>
      </c>
      <c r="N16" s="40"/>
      <c r="O16" s="40">
        <f t="shared" si="0"/>
        <v>6787498</v>
      </c>
      <c r="P16" s="40"/>
      <c r="Q16" s="96">
        <f t="shared" si="1"/>
        <v>0</v>
      </c>
    </row>
    <row r="17" spans="1:17" ht="12.75" hidden="1">
      <c r="A17" s="23" t="s">
        <v>240</v>
      </c>
      <c r="B17" s="2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>
        <f t="shared" si="0"/>
        <v>0</v>
      </c>
      <c r="P17" s="40"/>
      <c r="Q17" s="96">
        <f t="shared" si="1"/>
        <v>0</v>
      </c>
    </row>
    <row r="18" spans="1:17" ht="12.75">
      <c r="A18" s="23" t="s">
        <v>252</v>
      </c>
      <c r="B18" s="23"/>
      <c r="C18" s="40">
        <f>32167081+231815</f>
        <v>32398896</v>
      </c>
      <c r="D18" s="40"/>
      <c r="E18" s="40">
        <v>65872949</v>
      </c>
      <c r="F18" s="40"/>
      <c r="G18" s="40">
        <v>21450983</v>
      </c>
      <c r="H18" s="40"/>
      <c r="I18" s="40">
        <v>27984879</v>
      </c>
      <c r="J18" s="40"/>
      <c r="K18" s="40">
        <f>2101390+713002+45317+703358+4485000</f>
        <v>8048067</v>
      </c>
      <c r="L18" s="40"/>
      <c r="M18" s="40">
        <f>16953260+12886743</f>
        <v>29840003</v>
      </c>
      <c r="N18" s="40"/>
      <c r="O18" s="40">
        <f t="shared" si="0"/>
        <v>37888070</v>
      </c>
      <c r="P18" s="40"/>
      <c r="Q18" s="96">
        <f t="shared" si="1"/>
        <v>0</v>
      </c>
    </row>
    <row r="19" spans="1:17" ht="12.75">
      <c r="A19" s="23" t="s">
        <v>20</v>
      </c>
      <c r="B19" s="23"/>
      <c r="C19" s="40">
        <f>753155+50766</f>
        <v>803921</v>
      </c>
      <c r="D19" s="40"/>
      <c r="E19" s="40">
        <v>3312963</v>
      </c>
      <c r="F19" s="40"/>
      <c r="G19" s="40">
        <v>371944</v>
      </c>
      <c r="H19" s="40"/>
      <c r="I19" s="40">
        <v>2175625</v>
      </c>
      <c r="J19" s="40"/>
      <c r="K19" s="40">
        <f>66318+57900+15717+21960</f>
        <v>161895</v>
      </c>
      <c r="L19" s="40"/>
      <c r="M19" s="40">
        <v>975443</v>
      </c>
      <c r="N19" s="40"/>
      <c r="O19" s="40">
        <f t="shared" si="0"/>
        <v>1137338</v>
      </c>
      <c r="P19" s="40"/>
      <c r="Q19" s="96">
        <f t="shared" si="1"/>
        <v>0</v>
      </c>
    </row>
    <row r="20" spans="1:17" ht="12.75" hidden="1">
      <c r="A20" s="23" t="s">
        <v>172</v>
      </c>
      <c r="B20" s="23"/>
      <c r="C20" s="40">
        <v>0</v>
      </c>
      <c r="D20" s="40"/>
      <c r="E20" s="40">
        <v>0</v>
      </c>
      <c r="F20" s="40"/>
      <c r="G20" s="40">
        <v>0</v>
      </c>
      <c r="H20" s="40"/>
      <c r="I20" s="40">
        <v>0</v>
      </c>
      <c r="J20" s="40"/>
      <c r="K20" s="40">
        <v>0</v>
      </c>
      <c r="L20" s="40"/>
      <c r="M20" s="40">
        <v>0</v>
      </c>
      <c r="N20" s="40"/>
      <c r="O20" s="40">
        <f t="shared" si="0"/>
        <v>0</v>
      </c>
      <c r="P20" s="40"/>
      <c r="Q20" s="96">
        <f t="shared" si="1"/>
        <v>0</v>
      </c>
    </row>
    <row r="21" spans="1:17" ht="12.75">
      <c r="A21" s="23" t="s">
        <v>21</v>
      </c>
      <c r="B21" s="23"/>
      <c r="C21" s="40">
        <v>7682903</v>
      </c>
      <c r="D21" s="40"/>
      <c r="E21" s="40">
        <v>17610388</v>
      </c>
      <c r="F21" s="40"/>
      <c r="G21" s="40">
        <v>6309509</v>
      </c>
      <c r="H21" s="40"/>
      <c r="I21" s="40">
        <v>7921467</v>
      </c>
      <c r="J21" s="40"/>
      <c r="K21" s="40">
        <f>2428868+78927+115099</f>
        <v>2622894</v>
      </c>
      <c r="L21" s="40"/>
      <c r="M21" s="40">
        <v>7066027</v>
      </c>
      <c r="N21" s="40"/>
      <c r="O21" s="40">
        <f t="shared" si="0"/>
        <v>9688921</v>
      </c>
      <c r="P21" s="40"/>
      <c r="Q21" s="96">
        <f t="shared" si="1"/>
        <v>0</v>
      </c>
    </row>
    <row r="22" spans="1:17" ht="12.75">
      <c r="A22" s="23" t="s">
        <v>181</v>
      </c>
      <c r="B22" s="23"/>
      <c r="C22" s="40">
        <f>22969581</f>
        <v>22969581</v>
      </c>
      <c r="D22" s="40"/>
      <c r="E22" s="40">
        <v>39943591</v>
      </c>
      <c r="F22" s="40"/>
      <c r="G22" s="40">
        <v>12997325</v>
      </c>
      <c r="H22" s="40"/>
      <c r="I22" s="40">
        <v>14906274</v>
      </c>
      <c r="J22" s="40"/>
      <c r="K22" s="40">
        <f>601029+1519690+111655</f>
        <v>2232374</v>
      </c>
      <c r="L22" s="40"/>
      <c r="M22" s="40">
        <f>2300000+20504943</f>
        <v>22804943</v>
      </c>
      <c r="N22" s="40"/>
      <c r="O22" s="40">
        <f t="shared" si="0"/>
        <v>25037317</v>
      </c>
      <c r="P22" s="40"/>
      <c r="Q22" s="96">
        <f t="shared" si="1"/>
        <v>0</v>
      </c>
    </row>
    <row r="23" spans="1:17" ht="12.75">
      <c r="A23" s="23" t="s">
        <v>22</v>
      </c>
      <c r="B23" s="23"/>
      <c r="C23" s="40">
        <f>1989395</f>
        <v>1989395</v>
      </c>
      <c r="D23" s="40"/>
      <c r="E23" s="40">
        <v>6541649</v>
      </c>
      <c r="F23" s="40"/>
      <c r="G23" s="40">
        <v>2837444</v>
      </c>
      <c r="H23" s="40"/>
      <c r="I23" s="40">
        <v>3665699</v>
      </c>
      <c r="J23" s="40"/>
      <c r="K23" s="40">
        <f>277397+70640+13131+108808</f>
        <v>469976</v>
      </c>
      <c r="L23" s="40"/>
      <c r="M23" s="40">
        <v>2405974</v>
      </c>
      <c r="N23" s="40"/>
      <c r="O23" s="40">
        <f t="shared" si="0"/>
        <v>2875950</v>
      </c>
      <c r="P23" s="40"/>
      <c r="Q23" s="96">
        <f t="shared" si="1"/>
        <v>0</v>
      </c>
    </row>
    <row r="24" spans="1:17" ht="12.75" hidden="1">
      <c r="A24" s="23" t="s">
        <v>23</v>
      </c>
      <c r="B24" s="23"/>
      <c r="C24" s="40">
        <v>0</v>
      </c>
      <c r="D24" s="40"/>
      <c r="E24" s="40">
        <v>0</v>
      </c>
      <c r="F24" s="40"/>
      <c r="G24" s="40">
        <v>0</v>
      </c>
      <c r="H24" s="40"/>
      <c r="I24" s="40">
        <v>0</v>
      </c>
      <c r="J24" s="40"/>
      <c r="K24" s="40">
        <v>0</v>
      </c>
      <c r="L24" s="40"/>
      <c r="M24" s="40">
        <v>0</v>
      </c>
      <c r="N24" s="40"/>
      <c r="O24" s="40">
        <f t="shared" si="0"/>
        <v>0</v>
      </c>
      <c r="P24" s="40"/>
      <c r="Q24" s="96">
        <f t="shared" si="1"/>
        <v>0</v>
      </c>
    </row>
    <row r="25" spans="1:17" ht="12.75">
      <c r="A25" s="23" t="s">
        <v>24</v>
      </c>
      <c r="B25" s="23"/>
      <c r="C25" s="40">
        <f>1822278</f>
        <v>1822278</v>
      </c>
      <c r="D25" s="40"/>
      <c r="E25" s="40">
        <v>4777834</v>
      </c>
      <c r="F25" s="40"/>
      <c r="G25" s="40">
        <v>918098</v>
      </c>
      <c r="H25" s="40"/>
      <c r="I25" s="40">
        <v>2659511</v>
      </c>
      <c r="J25" s="40"/>
      <c r="K25" s="40">
        <f>444873+86060+10926</f>
        <v>541859</v>
      </c>
      <c r="L25" s="40"/>
      <c r="M25" s="40">
        <v>1576464</v>
      </c>
      <c r="N25" s="40"/>
      <c r="O25" s="40">
        <f t="shared" si="0"/>
        <v>2118323</v>
      </c>
      <c r="P25" s="40"/>
      <c r="Q25" s="96">
        <f t="shared" si="1"/>
        <v>0</v>
      </c>
    </row>
    <row r="26" spans="1:17" ht="12.75">
      <c r="A26" s="23" t="s">
        <v>179</v>
      </c>
      <c r="B26" s="23"/>
      <c r="C26" s="40">
        <v>3437492</v>
      </c>
      <c r="D26" s="40"/>
      <c r="E26" s="40">
        <v>7402280</v>
      </c>
      <c r="F26" s="40"/>
      <c r="G26" s="40">
        <v>2707761</v>
      </c>
      <c r="H26" s="40"/>
      <c r="I26" s="40">
        <v>3080235</v>
      </c>
      <c r="J26" s="40"/>
      <c r="K26" s="40">
        <f>156476+183127</f>
        <v>339603</v>
      </c>
      <c r="L26" s="40"/>
      <c r="M26" s="40">
        <v>3982442</v>
      </c>
      <c r="N26" s="40"/>
      <c r="O26" s="40">
        <f t="shared" si="0"/>
        <v>4322045</v>
      </c>
      <c r="P26" s="40"/>
      <c r="Q26" s="96">
        <f t="shared" si="1"/>
        <v>0</v>
      </c>
    </row>
    <row r="27" spans="1:17" ht="12.75">
      <c r="A27" s="23" t="s">
        <v>25</v>
      </c>
      <c r="B27" s="23"/>
      <c r="C27" s="40">
        <f>62340*1000</f>
        <v>62340000</v>
      </c>
      <c r="D27" s="40"/>
      <c r="E27" s="40">
        <f>283968*1000</f>
        <v>283968000</v>
      </c>
      <c r="F27" s="40"/>
      <c r="G27" s="40">
        <f>56320*1000</f>
        <v>56320000</v>
      </c>
      <c r="H27" s="40"/>
      <c r="I27" s="40">
        <f>69508*1000</f>
        <v>69508000</v>
      </c>
      <c r="J27" s="40"/>
      <c r="K27" s="40">
        <f>43136*1000</f>
        <v>43136000</v>
      </c>
      <c r="L27" s="40"/>
      <c r="M27" s="40">
        <f>171324*1000</f>
        <v>171324000</v>
      </c>
      <c r="N27" s="40"/>
      <c r="O27" s="40">
        <f t="shared" si="0"/>
        <v>214460000</v>
      </c>
      <c r="P27" s="40"/>
      <c r="Q27" s="96">
        <f t="shared" si="1"/>
        <v>0</v>
      </c>
    </row>
    <row r="28" spans="1:17" ht="12.75">
      <c r="A28" s="23" t="s">
        <v>26</v>
      </c>
      <c r="B28" s="23"/>
      <c r="C28" s="40">
        <f>1821996+286344</f>
        <v>2108340</v>
      </c>
      <c r="D28" s="40"/>
      <c r="E28" s="40">
        <v>6409063</v>
      </c>
      <c r="F28" s="40"/>
      <c r="G28" s="40">
        <v>2828086</v>
      </c>
      <c r="H28" s="40"/>
      <c r="I28" s="40">
        <v>3156890</v>
      </c>
      <c r="J28" s="40"/>
      <c r="K28" s="40">
        <f>14228+28608+61022</f>
        <v>103858</v>
      </c>
      <c r="L28" s="40"/>
      <c r="M28" s="40">
        <v>3148315</v>
      </c>
      <c r="N28" s="40"/>
      <c r="O28" s="40">
        <f t="shared" si="0"/>
        <v>3252173</v>
      </c>
      <c r="P28" s="40"/>
      <c r="Q28" s="96">
        <f t="shared" si="1"/>
        <v>0</v>
      </c>
    </row>
    <row r="29" spans="1:17" ht="12.75">
      <c r="A29" s="23" t="s">
        <v>27</v>
      </c>
      <c r="B29" s="23"/>
      <c r="C29" s="40">
        <f>6158372+139240</f>
        <v>6297612</v>
      </c>
      <c r="D29" s="40"/>
      <c r="E29" s="40">
        <v>11570905</v>
      </c>
      <c r="F29" s="40"/>
      <c r="G29" s="40">
        <v>1056696</v>
      </c>
      <c r="H29" s="40"/>
      <c r="I29" s="40">
        <v>2981625</v>
      </c>
      <c r="J29" s="40"/>
      <c r="K29" s="40">
        <f>167604+95200+125469+66262+1600726</f>
        <v>2055261</v>
      </c>
      <c r="L29" s="40"/>
      <c r="M29" s="40">
        <v>6534019</v>
      </c>
      <c r="N29" s="40"/>
      <c r="O29" s="40">
        <f aca="true" t="shared" si="2" ref="O29:O93">+M29+K29</f>
        <v>8589280</v>
      </c>
      <c r="P29" s="40"/>
      <c r="Q29" s="96">
        <f aca="true" t="shared" si="3" ref="Q29:Q93">+E29-I29-O29</f>
        <v>0</v>
      </c>
    </row>
    <row r="30" spans="1:17" ht="12.75">
      <c r="A30" s="23" t="s">
        <v>28</v>
      </c>
      <c r="B30" s="23"/>
      <c r="C30" s="40">
        <f>16627810+7364</f>
        <v>16635174</v>
      </c>
      <c r="D30" s="40"/>
      <c r="E30" s="40">
        <v>29712516</v>
      </c>
      <c r="F30" s="40"/>
      <c r="G30" s="40">
        <v>8284776</v>
      </c>
      <c r="H30" s="40"/>
      <c r="I30" s="40">
        <v>10873261</v>
      </c>
      <c r="J30" s="40"/>
      <c r="K30" s="40">
        <v>638218</v>
      </c>
      <c r="L30" s="40"/>
      <c r="M30" s="40">
        <v>18201037</v>
      </c>
      <c r="N30" s="40"/>
      <c r="O30" s="40">
        <f t="shared" si="2"/>
        <v>18839255</v>
      </c>
      <c r="P30" s="40"/>
      <c r="Q30" s="96">
        <f t="shared" si="3"/>
        <v>0</v>
      </c>
    </row>
    <row r="31" spans="1:17" ht="12.75">
      <c r="A31" s="23" t="s">
        <v>29</v>
      </c>
      <c r="B31" s="23"/>
      <c r="C31" s="40">
        <f>7682628+10837</f>
        <v>7693465</v>
      </c>
      <c r="D31" s="40"/>
      <c r="E31" s="40">
        <v>18032296</v>
      </c>
      <c r="F31" s="40"/>
      <c r="G31" s="40">
        <v>1480214</v>
      </c>
      <c r="H31" s="40"/>
      <c r="I31" s="40">
        <v>8828146</v>
      </c>
      <c r="J31" s="40"/>
      <c r="K31" s="40">
        <f>57737+80666+6401</f>
        <v>144804</v>
      </c>
      <c r="L31" s="40"/>
      <c r="M31" s="40">
        <f>1187567+7871779</f>
        <v>9059346</v>
      </c>
      <c r="N31" s="40"/>
      <c r="O31" s="40">
        <f t="shared" si="2"/>
        <v>9204150</v>
      </c>
      <c r="P31" s="40"/>
      <c r="Q31" s="96">
        <f t="shared" si="3"/>
        <v>0</v>
      </c>
    </row>
    <row r="32" spans="1:17" ht="12.75">
      <c r="A32" s="23" t="s">
        <v>30</v>
      </c>
      <c r="B32" s="23"/>
      <c r="C32" s="40">
        <f>15207520+103891</f>
        <v>15311411</v>
      </c>
      <c r="D32" s="40"/>
      <c r="E32" s="40">
        <v>29055022</v>
      </c>
      <c r="F32" s="40"/>
      <c r="G32" s="40">
        <v>9944868</v>
      </c>
      <c r="H32" s="40"/>
      <c r="I32" s="40">
        <v>12325602</v>
      </c>
      <c r="J32" s="40"/>
      <c r="K32" s="40">
        <f>1724002+319168</f>
        <v>2043170</v>
      </c>
      <c r="L32" s="40"/>
      <c r="M32" s="40">
        <f>218395+14467855</f>
        <v>14686250</v>
      </c>
      <c r="N32" s="40"/>
      <c r="O32" s="40">
        <f t="shared" si="2"/>
        <v>16729420</v>
      </c>
      <c r="P32" s="40"/>
      <c r="Q32" s="96">
        <f t="shared" si="3"/>
        <v>0</v>
      </c>
    </row>
    <row r="33" spans="1:17" ht="12.75" hidden="1">
      <c r="A33" s="23" t="s">
        <v>239</v>
      </c>
      <c r="B33" s="23"/>
      <c r="C33" s="40">
        <v>0</v>
      </c>
      <c r="D33" s="40"/>
      <c r="E33" s="40">
        <v>0</v>
      </c>
      <c r="F33" s="40"/>
      <c r="G33" s="40">
        <v>0</v>
      </c>
      <c r="H33" s="40"/>
      <c r="I33" s="40">
        <v>0</v>
      </c>
      <c r="J33" s="40"/>
      <c r="K33" s="40">
        <v>0</v>
      </c>
      <c r="L33" s="40"/>
      <c r="M33" s="40">
        <v>0</v>
      </c>
      <c r="N33" s="40"/>
      <c r="O33" s="40">
        <f t="shared" si="2"/>
        <v>0</v>
      </c>
      <c r="P33" s="40"/>
      <c r="Q33" s="96">
        <f t="shared" si="3"/>
        <v>0</v>
      </c>
    </row>
    <row r="34" spans="1:17" ht="12.75">
      <c r="A34" s="23" t="s">
        <v>32</v>
      </c>
      <c r="B34" s="23"/>
      <c r="C34" s="40">
        <f>242704+1*1000</f>
        <v>243704</v>
      </c>
      <c r="D34" s="40"/>
      <c r="E34" s="40">
        <f>368454*1000</f>
        <v>368454000</v>
      </c>
      <c r="F34" s="40"/>
      <c r="G34" s="40">
        <f>37245*1000</f>
        <v>37245000</v>
      </c>
      <c r="H34" s="40"/>
      <c r="I34" s="40">
        <f>95883*1000</f>
        <v>95883000</v>
      </c>
      <c r="J34" s="40"/>
      <c r="K34" s="40">
        <f>(521+4875+2104)*1000</f>
        <v>7500000</v>
      </c>
      <c r="L34" s="40"/>
      <c r="M34" s="40">
        <f>(18465+14503+232103)*1000</f>
        <v>265071000</v>
      </c>
      <c r="N34" s="40"/>
      <c r="O34" s="40">
        <f t="shared" si="2"/>
        <v>272571000</v>
      </c>
      <c r="P34" s="40"/>
      <c r="Q34" s="96">
        <f t="shared" si="3"/>
        <v>0</v>
      </c>
    </row>
    <row r="35" spans="1:17" ht="12.75">
      <c r="A35" s="23" t="s">
        <v>33</v>
      </c>
      <c r="B35" s="23"/>
      <c r="C35" s="40">
        <f>3398672+45039</f>
        <v>3443711</v>
      </c>
      <c r="D35" s="40"/>
      <c r="E35" s="40">
        <v>7376919</v>
      </c>
      <c r="F35" s="40"/>
      <c r="G35" s="40">
        <v>859374</v>
      </c>
      <c r="H35" s="40"/>
      <c r="I35" s="40">
        <v>2802464</v>
      </c>
      <c r="J35" s="40"/>
      <c r="K35" s="40">
        <f>180021+25931+50634+222703</f>
        <v>479289</v>
      </c>
      <c r="L35" s="40"/>
      <c r="M35" s="40">
        <f>500000+3595166</f>
        <v>4095166</v>
      </c>
      <c r="N35" s="40"/>
      <c r="O35" s="40">
        <f t="shared" si="2"/>
        <v>4574455</v>
      </c>
      <c r="P35" s="40"/>
      <c r="Q35" s="96">
        <f t="shared" si="3"/>
        <v>0</v>
      </c>
    </row>
    <row r="36" spans="1:17" ht="12.75">
      <c r="A36" s="23" t="s">
        <v>34</v>
      </c>
      <c r="B36" s="23"/>
      <c r="C36" s="40">
        <v>1038534</v>
      </c>
      <c r="D36" s="40"/>
      <c r="E36" s="40">
        <v>4347842</v>
      </c>
      <c r="F36" s="40"/>
      <c r="G36" s="40">
        <v>2093681</v>
      </c>
      <c r="H36" s="40"/>
      <c r="I36" s="40">
        <v>2416180</v>
      </c>
      <c r="J36" s="40"/>
      <c r="K36" s="40">
        <f>152097+54380</f>
        <v>206477</v>
      </c>
      <c r="L36" s="40"/>
      <c r="M36" s="40">
        <v>1725185</v>
      </c>
      <c r="N36" s="40"/>
      <c r="O36" s="40">
        <f t="shared" si="2"/>
        <v>1931662</v>
      </c>
      <c r="P36" s="40"/>
      <c r="Q36" s="96">
        <f t="shared" si="3"/>
        <v>0</v>
      </c>
    </row>
    <row r="37" spans="1:17" ht="12.75">
      <c r="A37" s="23" t="s">
        <v>35</v>
      </c>
      <c r="B37" s="23"/>
      <c r="C37" s="40">
        <f>5765755+438</f>
        <v>5766193</v>
      </c>
      <c r="D37" s="40"/>
      <c r="E37" s="40">
        <v>18465762</v>
      </c>
      <c r="F37" s="40"/>
      <c r="G37" s="40">
        <v>11035329</v>
      </c>
      <c r="H37" s="40"/>
      <c r="I37" s="40">
        <v>12272446</v>
      </c>
      <c r="J37" s="40"/>
      <c r="K37" s="40">
        <v>479522</v>
      </c>
      <c r="L37" s="40"/>
      <c r="M37" s="40">
        <f>200000+5513794</f>
        <v>5713794</v>
      </c>
      <c r="N37" s="40"/>
      <c r="O37" s="40">
        <f t="shared" si="2"/>
        <v>6193316</v>
      </c>
      <c r="P37" s="40"/>
      <c r="Q37" s="96">
        <f t="shared" si="3"/>
        <v>0</v>
      </c>
    </row>
    <row r="38" spans="1:17" ht="12.75">
      <c r="A38" s="23" t="s">
        <v>182</v>
      </c>
      <c r="B38" s="23"/>
      <c r="C38" s="40">
        <f>10642875</f>
        <v>10642875</v>
      </c>
      <c r="D38" s="40"/>
      <c r="E38" s="40">
        <v>26887877</v>
      </c>
      <c r="F38" s="40"/>
      <c r="G38" s="40">
        <v>11260316</v>
      </c>
      <c r="H38" s="40"/>
      <c r="I38" s="40">
        <v>13332542</v>
      </c>
      <c r="J38" s="40"/>
      <c r="K38" s="40">
        <v>573926</v>
      </c>
      <c r="L38" s="40"/>
      <c r="M38" s="40">
        <f>1750000+11231409</f>
        <v>12981409</v>
      </c>
      <c r="N38" s="40"/>
      <c r="O38" s="40">
        <f t="shared" si="2"/>
        <v>13555335</v>
      </c>
      <c r="P38" s="40"/>
      <c r="Q38" s="96">
        <f t="shared" si="3"/>
        <v>0</v>
      </c>
    </row>
    <row r="39" spans="1:17" ht="12.75" hidden="1">
      <c r="A39" s="23" t="s">
        <v>244</v>
      </c>
      <c r="B39" s="2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f t="shared" si="2"/>
        <v>0</v>
      </c>
      <c r="P39" s="40"/>
      <c r="Q39" s="96">
        <f t="shared" si="3"/>
        <v>0</v>
      </c>
    </row>
    <row r="40" spans="1:17" ht="12.75">
      <c r="A40" s="23" t="s">
        <v>37</v>
      </c>
      <c r="B40" s="23"/>
      <c r="C40" s="40">
        <v>26395000</v>
      </c>
      <c r="D40" s="40"/>
      <c r="E40" s="40">
        <v>114766000</v>
      </c>
      <c r="F40" s="40"/>
      <c r="G40" s="40">
        <v>44026000</v>
      </c>
      <c r="H40" s="40"/>
      <c r="I40" s="40">
        <v>62913000</v>
      </c>
      <c r="J40" s="40"/>
      <c r="K40" s="40">
        <f>5173000+2000000+2772000+7467000+1567000</f>
        <v>18979000</v>
      </c>
      <c r="L40" s="40"/>
      <c r="M40" s="40">
        <v>32874000</v>
      </c>
      <c r="N40" s="40"/>
      <c r="O40" s="40">
        <f t="shared" si="2"/>
        <v>51853000</v>
      </c>
      <c r="P40" s="40"/>
      <c r="Q40" s="96">
        <f t="shared" si="3"/>
        <v>0</v>
      </c>
    </row>
    <row r="41" spans="1:17" ht="12.75">
      <c r="A41" s="23" t="s">
        <v>38</v>
      </c>
      <c r="B41" s="23"/>
      <c r="C41" s="40">
        <v>4465417</v>
      </c>
      <c r="D41" s="40"/>
      <c r="E41" s="40">
        <v>9880000</v>
      </c>
      <c r="F41" s="40"/>
      <c r="G41" s="40">
        <v>4255840</v>
      </c>
      <c r="H41" s="40"/>
      <c r="I41" s="40">
        <v>5477702</v>
      </c>
      <c r="J41" s="40"/>
      <c r="K41" s="40">
        <v>779722</v>
      </c>
      <c r="L41" s="40"/>
      <c r="M41" s="40">
        <v>3622576</v>
      </c>
      <c r="N41" s="40"/>
      <c r="O41" s="40">
        <f t="shared" si="2"/>
        <v>4402298</v>
      </c>
      <c r="P41" s="40"/>
      <c r="Q41" s="96">
        <f t="shared" si="3"/>
        <v>0</v>
      </c>
    </row>
    <row r="42" spans="1:17" ht="12.75" hidden="1">
      <c r="A42" s="23" t="s">
        <v>168</v>
      </c>
      <c r="B42" s="23"/>
      <c r="C42" s="40">
        <v>0</v>
      </c>
      <c r="D42" s="40"/>
      <c r="E42" s="40">
        <v>0</v>
      </c>
      <c r="F42" s="40"/>
      <c r="G42" s="40">
        <v>0</v>
      </c>
      <c r="H42" s="40"/>
      <c r="I42" s="40">
        <v>0</v>
      </c>
      <c r="J42" s="40"/>
      <c r="K42" s="40">
        <v>0</v>
      </c>
      <c r="L42" s="40"/>
      <c r="M42" s="40">
        <v>0</v>
      </c>
      <c r="N42" s="40"/>
      <c r="O42" s="40">
        <f t="shared" si="2"/>
        <v>0</v>
      </c>
      <c r="P42" s="40"/>
      <c r="Q42" s="96">
        <f t="shared" si="3"/>
        <v>0</v>
      </c>
    </row>
    <row r="43" spans="1:17" ht="12.75" hidden="1">
      <c r="A43" s="23" t="s">
        <v>39</v>
      </c>
      <c r="B43" s="23"/>
      <c r="C43" s="40">
        <v>0</v>
      </c>
      <c r="D43" s="40"/>
      <c r="E43" s="40">
        <v>0</v>
      </c>
      <c r="F43" s="40"/>
      <c r="G43" s="40">
        <v>0</v>
      </c>
      <c r="H43" s="40"/>
      <c r="I43" s="40">
        <v>0</v>
      </c>
      <c r="J43" s="40"/>
      <c r="K43" s="40">
        <v>0</v>
      </c>
      <c r="L43" s="40"/>
      <c r="M43" s="40">
        <v>0</v>
      </c>
      <c r="N43" s="40"/>
      <c r="O43" s="40">
        <f t="shared" si="2"/>
        <v>0</v>
      </c>
      <c r="P43" s="40"/>
      <c r="Q43" s="96">
        <f t="shared" si="3"/>
        <v>0</v>
      </c>
    </row>
    <row r="44" spans="1:17" ht="12.75">
      <c r="A44" s="23" t="s">
        <v>40</v>
      </c>
      <c r="B44" s="23"/>
      <c r="C44" s="40">
        <v>4037832</v>
      </c>
      <c r="D44" s="40"/>
      <c r="E44" s="40">
        <v>7548045</v>
      </c>
      <c r="F44" s="40"/>
      <c r="G44" s="40">
        <v>785118</v>
      </c>
      <c r="H44" s="40"/>
      <c r="I44" s="40">
        <v>2981596</v>
      </c>
      <c r="J44" s="40"/>
      <c r="K44" s="40">
        <f>52017+38360+22635+1271</f>
        <v>114283</v>
      </c>
      <c r="L44" s="40"/>
      <c r="M44" s="40">
        <v>4452166</v>
      </c>
      <c r="N44" s="40"/>
      <c r="O44" s="40">
        <f t="shared" si="2"/>
        <v>4566449</v>
      </c>
      <c r="P44" s="40"/>
      <c r="Q44" s="96">
        <f t="shared" si="3"/>
        <v>0</v>
      </c>
    </row>
    <row r="45" spans="1:17" ht="12.75" hidden="1">
      <c r="A45" s="23" t="s">
        <v>41</v>
      </c>
      <c r="B45" s="23"/>
      <c r="C45" s="40">
        <v>0</v>
      </c>
      <c r="D45" s="40"/>
      <c r="E45" s="40">
        <v>0</v>
      </c>
      <c r="F45" s="40"/>
      <c r="G45" s="40">
        <v>0</v>
      </c>
      <c r="H45" s="40"/>
      <c r="I45" s="40">
        <v>0</v>
      </c>
      <c r="J45" s="40"/>
      <c r="K45" s="40">
        <v>0</v>
      </c>
      <c r="L45" s="40"/>
      <c r="M45" s="40">
        <v>0</v>
      </c>
      <c r="N45" s="40"/>
      <c r="O45" s="40">
        <f t="shared" si="2"/>
        <v>0</v>
      </c>
      <c r="P45" s="40"/>
      <c r="Q45" s="96">
        <f t="shared" si="3"/>
        <v>0</v>
      </c>
    </row>
    <row r="46" spans="1:17" ht="12.75">
      <c r="A46" s="23" t="s">
        <v>42</v>
      </c>
      <c r="B46" s="23"/>
      <c r="C46" s="40">
        <v>2363247</v>
      </c>
      <c r="D46" s="40"/>
      <c r="E46" s="40">
        <v>5265048</v>
      </c>
      <c r="F46" s="40"/>
      <c r="G46" s="40">
        <v>2392068</v>
      </c>
      <c r="H46" s="40"/>
      <c r="I46" s="40">
        <v>2592815</v>
      </c>
      <c r="J46" s="40"/>
      <c r="K46" s="40">
        <v>46819</v>
      </c>
      <c r="L46" s="40"/>
      <c r="M46" s="40">
        <v>2625414</v>
      </c>
      <c r="N46" s="40"/>
      <c r="O46" s="40">
        <f t="shared" si="2"/>
        <v>2672233</v>
      </c>
      <c r="P46" s="40"/>
      <c r="Q46" s="96">
        <f t="shared" si="3"/>
        <v>0</v>
      </c>
    </row>
    <row r="47" spans="1:17" ht="12.75">
      <c r="A47" s="23" t="s">
        <v>43</v>
      </c>
      <c r="B47" s="23"/>
      <c r="C47" s="40">
        <f>942750+13189</f>
        <v>955939</v>
      </c>
      <c r="D47" s="40"/>
      <c r="E47" s="40">
        <v>5100768</v>
      </c>
      <c r="F47" s="40"/>
      <c r="G47" s="40">
        <v>865751</v>
      </c>
      <c r="H47" s="40"/>
      <c r="I47" s="40">
        <v>3947414</v>
      </c>
      <c r="J47" s="40"/>
      <c r="K47" s="40">
        <f>38084+42819+71434+55000</f>
        <v>207337</v>
      </c>
      <c r="L47" s="40"/>
      <c r="M47" s="40">
        <v>946017</v>
      </c>
      <c r="N47" s="40"/>
      <c r="O47" s="40">
        <f t="shared" si="2"/>
        <v>1153354</v>
      </c>
      <c r="P47" s="40"/>
      <c r="Q47" s="96">
        <f t="shared" si="3"/>
        <v>0</v>
      </c>
    </row>
    <row r="48" spans="1:17" ht="12.75">
      <c r="A48" s="23" t="s">
        <v>44</v>
      </c>
      <c r="B48" s="23"/>
      <c r="C48" s="40">
        <v>1995496</v>
      </c>
      <c r="D48" s="40"/>
      <c r="E48" s="40">
        <v>5541325</v>
      </c>
      <c r="F48" s="40"/>
      <c r="G48" s="40">
        <v>2048975</v>
      </c>
      <c r="H48" s="40"/>
      <c r="I48" s="40">
        <v>2676632</v>
      </c>
      <c r="J48" s="40"/>
      <c r="K48" s="40">
        <f>37626+1539</f>
        <v>39165</v>
      </c>
      <c r="L48" s="40"/>
      <c r="M48" s="40">
        <v>2825528</v>
      </c>
      <c r="N48" s="40"/>
      <c r="O48" s="40">
        <f t="shared" si="2"/>
        <v>2864693</v>
      </c>
      <c r="P48" s="40"/>
      <c r="Q48" s="96">
        <f t="shared" si="3"/>
        <v>0</v>
      </c>
    </row>
    <row r="49" spans="1:17" ht="12.75" hidden="1">
      <c r="A49" s="23" t="s">
        <v>241</v>
      </c>
      <c r="B49" s="2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f t="shared" si="2"/>
        <v>0</v>
      </c>
      <c r="P49" s="40"/>
      <c r="Q49" s="96">
        <f t="shared" si="3"/>
        <v>0</v>
      </c>
    </row>
    <row r="50" spans="1:17" ht="12.75">
      <c r="A50" s="23" t="s">
        <v>46</v>
      </c>
      <c r="B50" s="23"/>
      <c r="C50" s="40">
        <f>93178+164193+25000+52265</f>
        <v>334636</v>
      </c>
      <c r="D50" s="40"/>
      <c r="E50" s="40">
        <v>8527355</v>
      </c>
      <c r="F50" s="40"/>
      <c r="G50" s="40">
        <v>3643844</v>
      </c>
      <c r="H50" s="40"/>
      <c r="I50" s="40">
        <v>4297307</v>
      </c>
      <c r="J50" s="40"/>
      <c r="K50" s="40">
        <f>127353+535748</f>
        <v>663101</v>
      </c>
      <c r="L50" s="40"/>
      <c r="M50" s="40">
        <f>52265+3514682</f>
        <v>3566947</v>
      </c>
      <c r="N50" s="40"/>
      <c r="O50" s="40">
        <f t="shared" si="2"/>
        <v>4230048</v>
      </c>
      <c r="P50" s="40"/>
      <c r="Q50" s="96">
        <f t="shared" si="3"/>
        <v>0</v>
      </c>
    </row>
    <row r="51" spans="1:17" ht="12.75">
      <c r="A51" s="23" t="s">
        <v>47</v>
      </c>
      <c r="B51" s="23"/>
      <c r="C51" s="40">
        <f>2387785+19893</f>
        <v>2407678</v>
      </c>
      <c r="D51" s="40"/>
      <c r="E51" s="40">
        <v>7835498</v>
      </c>
      <c r="F51" s="40"/>
      <c r="G51" s="40">
        <v>4301120</v>
      </c>
      <c r="H51" s="40"/>
      <c r="I51" s="40">
        <v>5083685</v>
      </c>
      <c r="J51" s="40"/>
      <c r="K51" s="40">
        <f>415291+2840+54531+190000</f>
        <v>662662</v>
      </c>
      <c r="L51" s="40"/>
      <c r="M51" s="40">
        <v>2089151</v>
      </c>
      <c r="N51" s="40"/>
      <c r="O51" s="40">
        <f t="shared" si="2"/>
        <v>2751813</v>
      </c>
      <c r="P51" s="40"/>
      <c r="Q51" s="96">
        <f t="shared" si="3"/>
        <v>0</v>
      </c>
    </row>
    <row r="52" spans="1:17" ht="12.75">
      <c r="A52" s="23" t="s">
        <v>48</v>
      </c>
      <c r="B52" s="23"/>
      <c r="C52" s="40">
        <v>24222684</v>
      </c>
      <c r="D52" s="40"/>
      <c r="E52" s="40">
        <v>45632466</v>
      </c>
      <c r="F52" s="40"/>
      <c r="G52" s="40">
        <v>14232294</v>
      </c>
      <c r="H52" s="40"/>
      <c r="I52" s="40">
        <v>16368990</v>
      </c>
      <c r="J52" s="40"/>
      <c r="K52" s="40">
        <f>544197+218767+3567393+540412</f>
        <v>4870769</v>
      </c>
      <c r="L52" s="40"/>
      <c r="M52" s="40">
        <f>248351+24144356</f>
        <v>24392707</v>
      </c>
      <c r="N52" s="40"/>
      <c r="O52" s="40">
        <f t="shared" si="2"/>
        <v>29263476</v>
      </c>
      <c r="P52" s="40"/>
      <c r="Q52" s="96">
        <f t="shared" si="3"/>
        <v>0</v>
      </c>
    </row>
    <row r="53" spans="1:17" ht="12.75" hidden="1">
      <c r="A53" s="23" t="s">
        <v>170</v>
      </c>
      <c r="B53" s="23"/>
      <c r="C53" s="40">
        <v>0</v>
      </c>
      <c r="D53" s="40"/>
      <c r="E53" s="40">
        <v>0</v>
      </c>
      <c r="F53" s="40"/>
      <c r="G53" s="40">
        <v>0</v>
      </c>
      <c r="H53" s="40"/>
      <c r="I53" s="40">
        <v>0</v>
      </c>
      <c r="J53" s="40"/>
      <c r="K53" s="40">
        <v>0</v>
      </c>
      <c r="L53" s="40"/>
      <c r="M53" s="40">
        <v>0</v>
      </c>
      <c r="N53" s="40"/>
      <c r="O53" s="40">
        <f t="shared" si="2"/>
        <v>0</v>
      </c>
      <c r="P53" s="40"/>
      <c r="Q53" s="96">
        <f t="shared" si="3"/>
        <v>0</v>
      </c>
    </row>
    <row r="54" spans="1:17" ht="12.75">
      <c r="A54" s="23" t="s">
        <v>49</v>
      </c>
      <c r="B54" s="23"/>
      <c r="C54" s="40">
        <f>10834350+3003785</f>
        <v>13838135</v>
      </c>
      <c r="D54" s="40"/>
      <c r="E54" s="40">
        <v>26730770</v>
      </c>
      <c r="F54" s="40"/>
      <c r="G54" s="40">
        <v>8081193</v>
      </c>
      <c r="H54" s="40"/>
      <c r="I54" s="40">
        <v>10804242</v>
      </c>
      <c r="J54" s="40"/>
      <c r="K54" s="40">
        <f>713629+165222+87870</f>
        <v>966721</v>
      </c>
      <c r="L54" s="40"/>
      <c r="M54" s="40">
        <v>14959807</v>
      </c>
      <c r="N54" s="40"/>
      <c r="O54" s="40">
        <f t="shared" si="2"/>
        <v>15926528</v>
      </c>
      <c r="P54" s="40"/>
      <c r="Q54" s="96">
        <f t="shared" si="3"/>
        <v>0</v>
      </c>
    </row>
    <row r="55" spans="1:17" ht="12.75">
      <c r="A55" s="23" t="s">
        <v>50</v>
      </c>
      <c r="B55" s="23"/>
      <c r="C55" s="40">
        <v>1565602</v>
      </c>
      <c r="D55" s="40"/>
      <c r="E55" s="40">
        <v>7027045</v>
      </c>
      <c r="F55" s="40"/>
      <c r="G55" s="40">
        <v>4027231</v>
      </c>
      <c r="H55" s="40"/>
      <c r="I55" s="40">
        <v>4716835</v>
      </c>
      <c r="J55" s="40"/>
      <c r="K55" s="40">
        <f>239170+54892+61172</f>
        <v>355234</v>
      </c>
      <c r="L55" s="40"/>
      <c r="M55" s="40">
        <v>1954976</v>
      </c>
      <c r="N55" s="40"/>
      <c r="O55" s="40">
        <f t="shared" si="2"/>
        <v>2310210</v>
      </c>
      <c r="P55" s="40"/>
      <c r="Q55" s="96">
        <f t="shared" si="3"/>
        <v>0</v>
      </c>
    </row>
    <row r="56" spans="1:17" ht="12.75">
      <c r="A56" s="23" t="s">
        <v>246</v>
      </c>
      <c r="B56" s="23"/>
      <c r="C56" s="40">
        <v>15807944</v>
      </c>
      <c r="D56" s="40"/>
      <c r="E56" s="40">
        <v>49315095</v>
      </c>
      <c r="F56" s="40"/>
      <c r="G56" s="40">
        <v>10612082</v>
      </c>
      <c r="H56" s="40"/>
      <c r="I56" s="40">
        <v>14654958</v>
      </c>
      <c r="J56" s="40"/>
      <c r="K56" s="40">
        <f>1047672+209394+15019778</f>
        <v>16276844</v>
      </c>
      <c r="L56" s="40"/>
      <c r="M56" s="40">
        <v>18383293</v>
      </c>
      <c r="N56" s="40"/>
      <c r="O56" s="40">
        <f t="shared" si="2"/>
        <v>34660137</v>
      </c>
      <c r="P56" s="40"/>
      <c r="Q56" s="96">
        <f t="shared" si="3"/>
        <v>0</v>
      </c>
    </row>
    <row r="57" spans="1:17" ht="12.75">
      <c r="A57" s="23" t="s">
        <v>183</v>
      </c>
      <c r="B57" s="23"/>
      <c r="C57" s="40">
        <f>15367722+738717</f>
        <v>16106439</v>
      </c>
      <c r="D57" s="40"/>
      <c r="E57" s="40">
        <v>82858311</v>
      </c>
      <c r="F57" s="40"/>
      <c r="G57" s="40">
        <v>13107756</v>
      </c>
      <c r="H57" s="40"/>
      <c r="I57" s="40">
        <v>38493962</v>
      </c>
      <c r="J57" s="40"/>
      <c r="K57" s="40">
        <v>1379913</v>
      </c>
      <c r="L57" s="40"/>
      <c r="M57" s="40">
        <v>42984436</v>
      </c>
      <c r="N57" s="40"/>
      <c r="O57" s="40">
        <f t="shared" si="2"/>
        <v>44364349</v>
      </c>
      <c r="P57" s="40"/>
      <c r="Q57" s="96">
        <f t="shared" si="3"/>
        <v>0</v>
      </c>
    </row>
    <row r="58" spans="1:17" ht="12.75" hidden="1">
      <c r="A58" s="23" t="s">
        <v>52</v>
      </c>
      <c r="B58" s="23"/>
      <c r="C58" s="40">
        <v>0</v>
      </c>
      <c r="D58" s="40"/>
      <c r="E58" s="40">
        <v>0</v>
      </c>
      <c r="F58" s="40"/>
      <c r="G58" s="40">
        <v>0</v>
      </c>
      <c r="H58" s="40"/>
      <c r="I58" s="40">
        <v>0</v>
      </c>
      <c r="J58" s="40"/>
      <c r="K58" s="40">
        <v>0</v>
      </c>
      <c r="L58" s="40"/>
      <c r="M58" s="40">
        <v>0</v>
      </c>
      <c r="N58" s="40"/>
      <c r="O58" s="40">
        <f t="shared" si="2"/>
        <v>0</v>
      </c>
      <c r="P58" s="40"/>
      <c r="Q58" s="96">
        <f t="shared" si="3"/>
        <v>0</v>
      </c>
    </row>
    <row r="59" spans="1:17" ht="12.75">
      <c r="A59" s="23" t="s">
        <v>53</v>
      </c>
      <c r="B59" s="23"/>
      <c r="C59" s="40">
        <f>8234653+437933</f>
        <v>8672586</v>
      </c>
      <c r="D59" s="40"/>
      <c r="E59" s="40">
        <v>28217626</v>
      </c>
      <c r="F59" s="40"/>
      <c r="G59" s="40">
        <v>11954899</v>
      </c>
      <c r="H59" s="40"/>
      <c r="I59" s="40">
        <v>16125476</v>
      </c>
      <c r="J59" s="40"/>
      <c r="K59" s="40">
        <f>711272+1405511</f>
        <v>2116783</v>
      </c>
      <c r="L59" s="40"/>
      <c r="M59" s="40">
        <v>9975367</v>
      </c>
      <c r="N59" s="40"/>
      <c r="O59" s="40">
        <f t="shared" si="2"/>
        <v>12092150</v>
      </c>
      <c r="P59" s="40"/>
      <c r="Q59" s="96">
        <f t="shared" si="3"/>
        <v>0</v>
      </c>
    </row>
    <row r="60" spans="1:17" ht="12.75">
      <c r="A60" s="23" t="s">
        <v>54</v>
      </c>
      <c r="B60" s="23"/>
      <c r="C60" s="40">
        <v>6685574</v>
      </c>
      <c r="D60" s="40"/>
      <c r="E60" s="40">
        <v>11905720</v>
      </c>
      <c r="F60" s="40"/>
      <c r="G60" s="40">
        <v>3808651</v>
      </c>
      <c r="H60" s="40"/>
      <c r="I60" s="40">
        <v>4342029</v>
      </c>
      <c r="J60" s="40"/>
      <c r="K60" s="40">
        <f>301723+489716</f>
        <v>791439</v>
      </c>
      <c r="L60" s="40"/>
      <c r="M60" s="40">
        <v>6772252</v>
      </c>
      <c r="N60" s="40"/>
      <c r="O60" s="40">
        <f t="shared" si="2"/>
        <v>7563691</v>
      </c>
      <c r="P60" s="40"/>
      <c r="Q60" s="96">
        <f t="shared" si="3"/>
        <v>0</v>
      </c>
    </row>
    <row r="61" spans="1:17" ht="12.75">
      <c r="A61" s="23" t="s">
        <v>55</v>
      </c>
      <c r="B61" s="23"/>
      <c r="C61" s="40">
        <f>10143287+2374</f>
        <v>10145661</v>
      </c>
      <c r="D61" s="40"/>
      <c r="E61" s="40">
        <v>26581226</v>
      </c>
      <c r="F61" s="40"/>
      <c r="G61" s="40">
        <v>11954853</v>
      </c>
      <c r="H61" s="40"/>
      <c r="I61" s="40">
        <v>13753780</v>
      </c>
      <c r="J61" s="40"/>
      <c r="K61" s="40">
        <v>526867</v>
      </c>
      <c r="L61" s="40"/>
      <c r="M61" s="40">
        <v>12300579</v>
      </c>
      <c r="N61" s="40"/>
      <c r="O61" s="40">
        <f t="shared" si="2"/>
        <v>12827446</v>
      </c>
      <c r="P61" s="40"/>
      <c r="Q61" s="96">
        <f t="shared" si="3"/>
        <v>0</v>
      </c>
    </row>
    <row r="62" spans="1:17" ht="12.75" hidden="1">
      <c r="A62" s="23" t="s">
        <v>171</v>
      </c>
      <c r="B62" s="23"/>
      <c r="C62" s="40">
        <v>0</v>
      </c>
      <c r="D62" s="40"/>
      <c r="E62" s="40">
        <v>0</v>
      </c>
      <c r="F62" s="40"/>
      <c r="G62" s="40">
        <v>0</v>
      </c>
      <c r="H62" s="40"/>
      <c r="I62" s="40">
        <v>0</v>
      </c>
      <c r="J62" s="40"/>
      <c r="K62" s="40">
        <v>0</v>
      </c>
      <c r="L62" s="40"/>
      <c r="M62" s="40">
        <v>0</v>
      </c>
      <c r="N62" s="40"/>
      <c r="O62" s="40">
        <f t="shared" si="2"/>
        <v>0</v>
      </c>
      <c r="P62" s="40"/>
      <c r="Q62" s="96">
        <f t="shared" si="3"/>
        <v>0</v>
      </c>
    </row>
    <row r="63" spans="1:17" ht="12.75" hidden="1">
      <c r="A63" s="23" t="s">
        <v>56</v>
      </c>
      <c r="B63" s="2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>
        <f t="shared" si="2"/>
        <v>0</v>
      </c>
      <c r="P63" s="40"/>
      <c r="Q63" s="96">
        <f t="shared" si="3"/>
        <v>0</v>
      </c>
    </row>
    <row r="64" spans="1:17" ht="12.75">
      <c r="A64" s="23" t="s">
        <v>57</v>
      </c>
      <c r="B64" s="23"/>
      <c r="C64" s="40">
        <f>2858391+12172196</f>
        <v>15030587</v>
      </c>
      <c r="D64" s="40"/>
      <c r="E64" s="40">
        <v>24321309</v>
      </c>
      <c r="F64" s="40"/>
      <c r="G64" s="40">
        <v>6620565</v>
      </c>
      <c r="H64" s="40"/>
      <c r="I64" s="40">
        <v>7722679</v>
      </c>
      <c r="J64" s="40"/>
      <c r="K64" s="40">
        <f>409496+111144+55468</f>
        <v>576108</v>
      </c>
      <c r="L64" s="40"/>
      <c r="M64" s="40">
        <v>16022522</v>
      </c>
      <c r="N64" s="40"/>
      <c r="O64" s="40">
        <f t="shared" si="2"/>
        <v>16598630</v>
      </c>
      <c r="P64" s="40"/>
      <c r="Q64" s="96">
        <f t="shared" si="3"/>
        <v>0</v>
      </c>
    </row>
    <row r="65" spans="1:17" ht="12.75">
      <c r="A65" s="23" t="s">
        <v>58</v>
      </c>
      <c r="B65" s="23"/>
      <c r="C65" s="40">
        <v>70713</v>
      </c>
      <c r="D65" s="40"/>
      <c r="E65" s="40">
        <v>1484134</v>
      </c>
      <c r="F65" s="40"/>
      <c r="G65" s="40">
        <v>944820</v>
      </c>
      <c r="H65" s="40"/>
      <c r="I65" s="40">
        <v>1230025</v>
      </c>
      <c r="J65" s="40"/>
      <c r="K65" s="40">
        <v>106431</v>
      </c>
      <c r="L65" s="40"/>
      <c r="M65" s="40">
        <v>147678</v>
      </c>
      <c r="N65" s="40"/>
      <c r="O65" s="40">
        <f t="shared" si="2"/>
        <v>254109</v>
      </c>
      <c r="P65" s="40"/>
      <c r="Q65" s="96">
        <f t="shared" si="3"/>
        <v>0</v>
      </c>
    </row>
    <row r="66" spans="1:17" ht="12.75">
      <c r="A66" s="23" t="s">
        <v>59</v>
      </c>
      <c r="B66" s="23"/>
      <c r="C66" s="40">
        <f>38390134+18438</f>
        <v>38408572</v>
      </c>
      <c r="D66" s="40"/>
      <c r="E66" s="40">
        <v>100667159</v>
      </c>
      <c r="F66" s="40"/>
      <c r="G66" s="40">
        <v>39337955</v>
      </c>
      <c r="H66" s="40"/>
      <c r="I66" s="40">
        <v>47526766</v>
      </c>
      <c r="J66" s="40"/>
      <c r="K66" s="40">
        <f>455006+6082890</f>
        <v>6537896</v>
      </c>
      <c r="L66" s="40"/>
      <c r="M66" s="40">
        <v>46602497</v>
      </c>
      <c r="N66" s="40"/>
      <c r="O66" s="40">
        <f t="shared" si="2"/>
        <v>53140393</v>
      </c>
      <c r="P66" s="40"/>
      <c r="Q66" s="96">
        <f t="shared" si="3"/>
        <v>0</v>
      </c>
    </row>
    <row r="67" spans="1:17" ht="12.75" hidden="1">
      <c r="A67" s="23" t="s">
        <v>60</v>
      </c>
      <c r="B67" s="2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>
        <f t="shared" si="2"/>
        <v>0</v>
      </c>
      <c r="P67" s="40"/>
      <c r="Q67" s="96">
        <f t="shared" si="3"/>
        <v>0</v>
      </c>
    </row>
    <row r="68" spans="1:17" ht="12.75">
      <c r="A68" s="23" t="s">
        <v>97</v>
      </c>
      <c r="B68" s="23"/>
      <c r="C68" s="40">
        <v>920590</v>
      </c>
      <c r="D68" s="40"/>
      <c r="E68" s="40">
        <v>4205519</v>
      </c>
      <c r="F68" s="40"/>
      <c r="G68" s="40">
        <v>567637</v>
      </c>
      <c r="H68" s="40"/>
      <c r="I68" s="40">
        <v>2789957</v>
      </c>
      <c r="J68" s="40"/>
      <c r="K68" s="40">
        <f>166390+22831+94501</f>
        <v>283722</v>
      </c>
      <c r="L68" s="40"/>
      <c r="M68" s="40">
        <v>1131840</v>
      </c>
      <c r="N68" s="40"/>
      <c r="O68" s="40">
        <f t="shared" si="2"/>
        <v>1415562</v>
      </c>
      <c r="P68" s="40"/>
      <c r="Q68" s="96">
        <f t="shared" si="3"/>
        <v>0</v>
      </c>
    </row>
    <row r="69" spans="1:17" ht="12.75">
      <c r="A69" s="23" t="s">
        <v>61</v>
      </c>
      <c r="B69" s="23"/>
      <c r="C69" s="40">
        <f>10605417+94062</f>
        <v>10699479</v>
      </c>
      <c r="D69" s="40"/>
      <c r="E69" s="40">
        <v>18672798</v>
      </c>
      <c r="F69" s="40"/>
      <c r="G69" s="40">
        <v>5650679</v>
      </c>
      <c r="H69" s="40"/>
      <c r="I69" s="40">
        <v>7200352</v>
      </c>
      <c r="J69" s="40"/>
      <c r="K69" s="40">
        <v>378747</v>
      </c>
      <c r="L69" s="40"/>
      <c r="M69" s="40">
        <v>11093699</v>
      </c>
      <c r="N69" s="40"/>
      <c r="O69" s="40">
        <f t="shared" si="2"/>
        <v>11472446</v>
      </c>
      <c r="P69" s="40"/>
      <c r="Q69" s="96">
        <f t="shared" si="3"/>
        <v>0</v>
      </c>
    </row>
    <row r="70" spans="1:17" ht="12.75">
      <c r="A70" s="23" t="s">
        <v>62</v>
      </c>
      <c r="B70" s="23"/>
      <c r="C70" s="40">
        <v>776599</v>
      </c>
      <c r="D70" s="40"/>
      <c r="E70" s="40">
        <v>1967608</v>
      </c>
      <c r="F70" s="40"/>
      <c r="G70" s="40">
        <v>876919</v>
      </c>
      <c r="H70" s="40"/>
      <c r="I70" s="40">
        <v>994384</v>
      </c>
      <c r="J70" s="40"/>
      <c r="K70" s="40">
        <f>22849+6121</f>
        <v>28970</v>
      </c>
      <c r="L70" s="40"/>
      <c r="M70" s="40">
        <v>944254</v>
      </c>
      <c r="N70" s="40"/>
      <c r="O70" s="40">
        <f t="shared" si="2"/>
        <v>973224</v>
      </c>
      <c r="P70" s="40"/>
      <c r="Q70" s="96">
        <f t="shared" si="3"/>
        <v>0</v>
      </c>
    </row>
    <row r="71" spans="1:17" ht="12.75">
      <c r="A71" s="23" t="s">
        <v>63</v>
      </c>
      <c r="B71" s="23"/>
      <c r="C71" s="40">
        <f>897859+44129</f>
        <v>941988</v>
      </c>
      <c r="D71" s="40"/>
      <c r="E71" s="40">
        <v>9520412</v>
      </c>
      <c r="F71" s="40"/>
      <c r="G71" s="40">
        <v>1486799</v>
      </c>
      <c r="H71" s="40"/>
      <c r="I71" s="40">
        <v>5501084</v>
      </c>
      <c r="J71" s="40"/>
      <c r="K71" s="40">
        <f>246808+80205+416600</f>
        <v>743613</v>
      </c>
      <c r="L71" s="40"/>
      <c r="M71" s="40">
        <v>3275715</v>
      </c>
      <c r="N71" s="40"/>
      <c r="O71" s="40">
        <f t="shared" si="2"/>
        <v>4019328</v>
      </c>
      <c r="P71" s="40"/>
      <c r="Q71" s="96">
        <f t="shared" si="3"/>
        <v>0</v>
      </c>
    </row>
    <row r="72" spans="1:17" ht="12.75" hidden="1">
      <c r="A72" s="23" t="s">
        <v>132</v>
      </c>
      <c r="B72" s="2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f t="shared" si="2"/>
        <v>0</v>
      </c>
      <c r="P72" s="40"/>
      <c r="Q72" s="96">
        <f t="shared" si="3"/>
        <v>0</v>
      </c>
    </row>
    <row r="73" spans="1:17" ht="12.75" hidden="1">
      <c r="A73" s="23" t="s">
        <v>64</v>
      </c>
      <c r="B73" s="2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>
        <f t="shared" si="2"/>
        <v>0</v>
      </c>
      <c r="P73" s="40"/>
      <c r="Q73" s="96">
        <f t="shared" si="3"/>
        <v>0</v>
      </c>
    </row>
    <row r="74" spans="1:17" ht="12.75">
      <c r="A74" s="23"/>
      <c r="B74" s="2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96"/>
    </row>
    <row r="75" spans="1:17" ht="12.75">
      <c r="A75" s="23"/>
      <c r="B75" s="2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 t="s">
        <v>253</v>
      </c>
      <c r="P75" s="40"/>
      <c r="Q75" s="96"/>
    </row>
    <row r="76" spans="1:17" ht="12.75">
      <c r="A76" s="23" t="s">
        <v>65</v>
      </c>
      <c r="B76" s="23"/>
      <c r="C76" s="61">
        <f>2888834+100522</f>
        <v>2989356</v>
      </c>
      <c r="D76" s="61"/>
      <c r="E76" s="61">
        <v>7217204</v>
      </c>
      <c r="F76" s="61"/>
      <c r="G76" s="61">
        <v>3012667</v>
      </c>
      <c r="H76" s="61"/>
      <c r="I76" s="61">
        <v>3800138</v>
      </c>
      <c r="J76" s="61"/>
      <c r="K76" s="61">
        <v>219685</v>
      </c>
      <c r="L76" s="61"/>
      <c r="M76" s="61">
        <v>3197381</v>
      </c>
      <c r="N76" s="61"/>
      <c r="O76" s="61">
        <f t="shared" si="2"/>
        <v>3417066</v>
      </c>
      <c r="P76" s="40"/>
      <c r="Q76" s="96">
        <f t="shared" si="3"/>
        <v>0</v>
      </c>
    </row>
    <row r="77" spans="1:17" ht="12.75">
      <c r="A77" s="23" t="s">
        <v>66</v>
      </c>
      <c r="B77" s="23"/>
      <c r="C77" s="40">
        <f>3595217+39498</f>
        <v>3634715</v>
      </c>
      <c r="D77" s="40"/>
      <c r="E77" s="40">
        <v>6158941</v>
      </c>
      <c r="F77" s="40"/>
      <c r="G77" s="40">
        <v>1711317</v>
      </c>
      <c r="H77" s="40"/>
      <c r="I77" s="40">
        <v>2027269</v>
      </c>
      <c r="J77" s="40"/>
      <c r="K77" s="40">
        <v>107470</v>
      </c>
      <c r="L77" s="40"/>
      <c r="M77" s="40">
        <v>4024202</v>
      </c>
      <c r="N77" s="40"/>
      <c r="O77" s="40">
        <f t="shared" si="2"/>
        <v>4131672</v>
      </c>
      <c r="P77" s="40"/>
      <c r="Q77" s="96">
        <f t="shared" si="3"/>
        <v>0</v>
      </c>
    </row>
    <row r="78" spans="1:17" ht="12.75">
      <c r="A78" s="23" t="s">
        <v>67</v>
      </c>
      <c r="B78" s="23"/>
      <c r="C78" s="40">
        <f>8843275+105757</f>
        <v>8949032</v>
      </c>
      <c r="D78" s="40"/>
      <c r="E78" s="40">
        <v>26496445</v>
      </c>
      <c r="F78" s="40"/>
      <c r="G78" s="40">
        <v>7239565</v>
      </c>
      <c r="H78" s="40"/>
      <c r="I78" s="40">
        <v>9042674</v>
      </c>
      <c r="J78" s="40"/>
      <c r="K78" s="40">
        <f>306341+419000+561806+564077</f>
        <v>1851224</v>
      </c>
      <c r="L78" s="40"/>
      <c r="M78" s="40">
        <v>15602547</v>
      </c>
      <c r="N78" s="40"/>
      <c r="O78" s="40">
        <f t="shared" si="2"/>
        <v>17453771</v>
      </c>
      <c r="P78" s="40"/>
      <c r="Q78" s="96">
        <f t="shared" si="3"/>
        <v>0</v>
      </c>
    </row>
    <row r="79" spans="1:17" ht="12.75">
      <c r="A79" s="23" t="s">
        <v>68</v>
      </c>
      <c r="B79" s="23"/>
      <c r="C79" s="40">
        <f>1608913+6094</f>
        <v>1615007</v>
      </c>
      <c r="D79" s="40"/>
      <c r="E79" s="40">
        <v>4842402</v>
      </c>
      <c r="F79" s="40"/>
      <c r="G79" s="40">
        <v>2047967</v>
      </c>
      <c r="H79" s="40"/>
      <c r="I79" s="40">
        <v>2678144</v>
      </c>
      <c r="J79" s="40"/>
      <c r="K79" s="40">
        <v>128869</v>
      </c>
      <c r="L79" s="40"/>
      <c r="M79" s="40">
        <v>2035389</v>
      </c>
      <c r="N79" s="40"/>
      <c r="O79" s="40">
        <f t="shared" si="2"/>
        <v>2164258</v>
      </c>
      <c r="P79" s="40"/>
      <c r="Q79" s="96">
        <f t="shared" si="3"/>
        <v>0</v>
      </c>
    </row>
    <row r="80" spans="1:17" ht="12.75" hidden="1">
      <c r="A80" s="23" t="s">
        <v>176</v>
      </c>
      <c r="B80" s="23"/>
      <c r="C80" s="40">
        <v>0</v>
      </c>
      <c r="D80" s="40"/>
      <c r="E80" s="40">
        <v>0</v>
      </c>
      <c r="F80" s="40"/>
      <c r="G80" s="40">
        <v>0</v>
      </c>
      <c r="H80" s="40"/>
      <c r="I80" s="40">
        <v>0</v>
      </c>
      <c r="J80" s="40"/>
      <c r="K80" s="40">
        <v>0</v>
      </c>
      <c r="L80" s="40"/>
      <c r="M80" s="40">
        <v>0</v>
      </c>
      <c r="N80" s="40"/>
      <c r="O80" s="40">
        <f t="shared" si="2"/>
        <v>0</v>
      </c>
      <c r="P80" s="40"/>
      <c r="Q80" s="96">
        <f t="shared" si="3"/>
        <v>0</v>
      </c>
    </row>
    <row r="81" spans="1:17" ht="12.75">
      <c r="A81" s="23" t="s">
        <v>178</v>
      </c>
      <c r="B81" s="23"/>
      <c r="C81" s="40">
        <f>2282090+616</f>
        <v>2282706</v>
      </c>
      <c r="D81" s="40"/>
      <c r="E81" s="40">
        <v>13936017</v>
      </c>
      <c r="F81" s="40"/>
      <c r="G81" s="40">
        <v>9647856</v>
      </c>
      <c r="H81" s="40"/>
      <c r="I81" s="40">
        <v>11522511</v>
      </c>
      <c r="J81" s="40"/>
      <c r="K81" s="40">
        <f>22153+691510</f>
        <v>713663</v>
      </c>
      <c r="L81" s="40"/>
      <c r="M81" s="40">
        <v>1699843</v>
      </c>
      <c r="N81" s="40"/>
      <c r="O81" s="40">
        <f t="shared" si="2"/>
        <v>2413506</v>
      </c>
      <c r="P81" s="40"/>
      <c r="Q81" s="96">
        <f t="shared" si="3"/>
        <v>0</v>
      </c>
    </row>
    <row r="82" spans="1:17" ht="12.75">
      <c r="A82" s="23" t="s">
        <v>69</v>
      </c>
      <c r="B82" s="23"/>
      <c r="C82" s="40">
        <f>1632792+37702</f>
        <v>1670494</v>
      </c>
      <c r="D82" s="40"/>
      <c r="E82" s="40">
        <v>7233035</v>
      </c>
      <c r="F82" s="40"/>
      <c r="G82" s="40">
        <v>796400</v>
      </c>
      <c r="H82" s="40"/>
      <c r="I82" s="40">
        <v>3583991</v>
      </c>
      <c r="J82" s="40"/>
      <c r="K82" s="40">
        <f>188671+120210</f>
        <v>308881</v>
      </c>
      <c r="L82" s="40"/>
      <c r="M82" s="40">
        <v>3340163</v>
      </c>
      <c r="N82" s="40"/>
      <c r="O82" s="40">
        <f t="shared" si="2"/>
        <v>3649044</v>
      </c>
      <c r="P82" s="40"/>
      <c r="Q82" s="96">
        <f t="shared" si="3"/>
        <v>0</v>
      </c>
    </row>
    <row r="83" spans="1:17" ht="12.75">
      <c r="A83" s="23" t="s">
        <v>98</v>
      </c>
      <c r="B83" s="23"/>
      <c r="C83" s="40">
        <v>3809178</v>
      </c>
      <c r="D83" s="40"/>
      <c r="E83" s="40">
        <v>9789454</v>
      </c>
      <c r="F83" s="40"/>
      <c r="G83" s="40">
        <v>773394</v>
      </c>
      <c r="H83" s="40"/>
      <c r="I83" s="40">
        <v>4692993</v>
      </c>
      <c r="J83" s="40"/>
      <c r="K83" s="40">
        <f>168773+94048+140910</f>
        <v>403731</v>
      </c>
      <c r="L83" s="40"/>
      <c r="M83" s="40">
        <v>4692730</v>
      </c>
      <c r="N83" s="40"/>
      <c r="O83" s="40">
        <f t="shared" si="2"/>
        <v>5096461</v>
      </c>
      <c r="P83" s="40"/>
      <c r="Q83" s="96">
        <f t="shared" si="3"/>
        <v>0</v>
      </c>
    </row>
    <row r="84" spans="1:17" ht="12.75">
      <c r="A84" s="23" t="s">
        <v>70</v>
      </c>
      <c r="B84" s="23"/>
      <c r="C84" s="40">
        <v>8791</v>
      </c>
      <c r="D84" s="40"/>
      <c r="E84" s="40">
        <v>4775102</v>
      </c>
      <c r="F84" s="40"/>
      <c r="G84" s="40">
        <v>2377479</v>
      </c>
      <c r="H84" s="40"/>
      <c r="I84" s="40">
        <v>6176564</v>
      </c>
      <c r="J84" s="40"/>
      <c r="K84" s="40">
        <f>80391+284070+8607</f>
        <v>373068</v>
      </c>
      <c r="L84" s="40"/>
      <c r="M84" s="40">
        <v>-1774530</v>
      </c>
      <c r="N84" s="40"/>
      <c r="O84" s="40">
        <f t="shared" si="2"/>
        <v>-1401462</v>
      </c>
      <c r="P84" s="40"/>
      <c r="Q84" s="96">
        <f t="shared" si="3"/>
        <v>0</v>
      </c>
    </row>
    <row r="85" spans="1:17" ht="12.75">
      <c r="A85" s="23" t="s">
        <v>71</v>
      </c>
      <c r="B85" s="23"/>
      <c r="C85" s="40">
        <v>2954247</v>
      </c>
      <c r="D85" s="40"/>
      <c r="E85" s="40">
        <v>7718453</v>
      </c>
      <c r="F85" s="40"/>
      <c r="G85" s="40">
        <v>2338935</v>
      </c>
      <c r="H85" s="40"/>
      <c r="I85" s="40">
        <v>3232996</v>
      </c>
      <c r="J85" s="40"/>
      <c r="K85" s="40">
        <v>518715</v>
      </c>
      <c r="L85" s="40"/>
      <c r="M85" s="40">
        <v>3966742</v>
      </c>
      <c r="N85" s="40"/>
      <c r="O85" s="40">
        <f t="shared" si="2"/>
        <v>4485457</v>
      </c>
      <c r="P85" s="40"/>
      <c r="Q85" s="96">
        <f t="shared" si="3"/>
        <v>0</v>
      </c>
    </row>
    <row r="86" spans="1:17" ht="12.75">
      <c r="A86" s="23" t="s">
        <v>72</v>
      </c>
      <c r="B86" s="23"/>
      <c r="C86" s="40">
        <f>1002779+6985</f>
        <v>1009764</v>
      </c>
      <c r="D86" s="40"/>
      <c r="E86" s="40">
        <v>5223975</v>
      </c>
      <c r="F86" s="40"/>
      <c r="G86" s="40">
        <v>3095343</v>
      </c>
      <c r="H86" s="40"/>
      <c r="I86" s="40">
        <v>3698384</v>
      </c>
      <c r="J86" s="40"/>
      <c r="K86" s="40">
        <f>13553+4416+22500+44887</f>
        <v>85356</v>
      </c>
      <c r="L86" s="40"/>
      <c r="M86" s="40">
        <v>1440235</v>
      </c>
      <c r="N86" s="40"/>
      <c r="O86" s="40">
        <f t="shared" si="2"/>
        <v>1525591</v>
      </c>
      <c r="P86" s="40"/>
      <c r="Q86" s="96">
        <f t="shared" si="3"/>
        <v>0</v>
      </c>
    </row>
    <row r="87" spans="1:17" ht="12.75">
      <c r="A87" s="23" t="s">
        <v>73</v>
      </c>
      <c r="B87" s="23"/>
      <c r="C87" s="40">
        <f>12038184+524270+20739</f>
        <v>12583193</v>
      </c>
      <c r="D87" s="40"/>
      <c r="E87" s="40">
        <v>38222527</v>
      </c>
      <c r="F87" s="40"/>
      <c r="G87" s="40">
        <v>21327870</v>
      </c>
      <c r="H87" s="40"/>
      <c r="I87" s="40">
        <v>24630817</v>
      </c>
      <c r="J87" s="40"/>
      <c r="K87" s="40">
        <f>2946965+547128</f>
        <v>3494093</v>
      </c>
      <c r="L87" s="40"/>
      <c r="M87" s="40">
        <v>10097617</v>
      </c>
      <c r="N87" s="40"/>
      <c r="O87" s="40">
        <f t="shared" si="2"/>
        <v>13591710</v>
      </c>
      <c r="P87" s="40"/>
      <c r="Q87" s="96">
        <f t="shared" si="3"/>
        <v>0</v>
      </c>
    </row>
    <row r="88" spans="1:17" ht="12.75">
      <c r="A88" s="23" t="s">
        <v>74</v>
      </c>
      <c r="B88" s="23"/>
      <c r="C88" s="40">
        <f>61150367+557518</f>
        <v>61707885</v>
      </c>
      <c r="D88" s="40"/>
      <c r="E88" s="40">
        <v>112188244</v>
      </c>
      <c r="F88" s="40"/>
      <c r="G88" s="40">
        <v>34483153</v>
      </c>
      <c r="H88" s="40"/>
      <c r="I88" s="40">
        <v>39355356</v>
      </c>
      <c r="J88" s="40"/>
      <c r="K88" s="40">
        <f>7359742+168137+162348</f>
        <v>7690227</v>
      </c>
      <c r="L88" s="40"/>
      <c r="M88" s="40">
        <v>65142661</v>
      </c>
      <c r="N88" s="40"/>
      <c r="O88" s="40">
        <f t="shared" si="2"/>
        <v>72832888</v>
      </c>
      <c r="P88" s="40"/>
      <c r="Q88" s="96">
        <f t="shared" si="3"/>
        <v>0</v>
      </c>
    </row>
    <row r="89" spans="1:17" ht="12.75">
      <c r="A89" s="23" t="s">
        <v>75</v>
      </c>
      <c r="B89" s="23"/>
      <c r="C89" s="40">
        <f>15038294+126952</f>
        <v>15165246</v>
      </c>
      <c r="D89" s="40"/>
      <c r="E89" s="40">
        <v>30221633</v>
      </c>
      <c r="F89" s="40"/>
      <c r="G89" s="40">
        <v>11616459</v>
      </c>
      <c r="H89" s="40"/>
      <c r="I89" s="40">
        <v>13964472</v>
      </c>
      <c r="J89" s="40"/>
      <c r="K89" s="40">
        <f>632923+203490</f>
        <v>836413</v>
      </c>
      <c r="L89" s="40"/>
      <c r="M89" s="40">
        <v>15420748</v>
      </c>
      <c r="N89" s="40"/>
      <c r="O89" s="40">
        <f t="shared" si="2"/>
        <v>16257161</v>
      </c>
      <c r="P89" s="40"/>
      <c r="Q89" s="96">
        <f t="shared" si="3"/>
        <v>0</v>
      </c>
    </row>
    <row r="90" spans="1:17" ht="12.75">
      <c r="A90" s="23" t="s">
        <v>76</v>
      </c>
      <c r="B90" s="23"/>
      <c r="C90" s="40">
        <v>12348151</v>
      </c>
      <c r="D90" s="40"/>
      <c r="E90" s="40">
        <v>20928037</v>
      </c>
      <c r="F90" s="40"/>
      <c r="G90" s="40">
        <v>6500006</v>
      </c>
      <c r="H90" s="40"/>
      <c r="I90" s="40">
        <v>7033730</v>
      </c>
      <c r="J90" s="40"/>
      <c r="K90" s="40">
        <f>240467+69685+69978</f>
        <v>380130</v>
      </c>
      <c r="L90" s="40"/>
      <c r="M90" s="40">
        <v>13514177</v>
      </c>
      <c r="N90" s="40"/>
      <c r="O90" s="40">
        <f t="shared" si="2"/>
        <v>13894307</v>
      </c>
      <c r="P90" s="40"/>
      <c r="Q90" s="96">
        <f t="shared" si="3"/>
        <v>0</v>
      </c>
    </row>
    <row r="91" spans="1:17" ht="12.75">
      <c r="A91" s="23" t="s">
        <v>77</v>
      </c>
      <c r="B91" s="23"/>
      <c r="C91" s="40">
        <f>5986625+177833</f>
        <v>6164458</v>
      </c>
      <c r="D91" s="40"/>
      <c r="E91" s="40">
        <v>14555175</v>
      </c>
      <c r="F91" s="40"/>
      <c r="G91" s="40">
        <v>6315466</v>
      </c>
      <c r="H91" s="40"/>
      <c r="I91" s="40">
        <v>6879782</v>
      </c>
      <c r="J91" s="40"/>
      <c r="K91" s="40">
        <f>486459+81674+331329</f>
        <v>899462</v>
      </c>
      <c r="L91" s="40"/>
      <c r="M91" s="40">
        <v>6775931</v>
      </c>
      <c r="N91" s="40"/>
      <c r="O91" s="40">
        <f t="shared" si="2"/>
        <v>7675393</v>
      </c>
      <c r="P91" s="40"/>
      <c r="Q91" s="96">
        <f t="shared" si="3"/>
        <v>0</v>
      </c>
    </row>
    <row r="92" spans="1:17" ht="12.75">
      <c r="A92" s="23" t="s">
        <v>78</v>
      </c>
      <c r="B92" s="23"/>
      <c r="C92" s="40">
        <f>395660+15285</f>
        <v>410945</v>
      </c>
      <c r="D92" s="40"/>
      <c r="E92" s="40">
        <v>2844389</v>
      </c>
      <c r="F92" s="40"/>
      <c r="G92" s="40">
        <v>1971034</v>
      </c>
      <c r="H92" s="40"/>
      <c r="I92" s="40">
        <v>2273487</v>
      </c>
      <c r="J92" s="40"/>
      <c r="K92" s="40">
        <f>16537+11000+13312</f>
        <v>40849</v>
      </c>
      <c r="L92" s="40"/>
      <c r="M92" s="40">
        <v>530053</v>
      </c>
      <c r="N92" s="40"/>
      <c r="O92" s="40">
        <f t="shared" si="2"/>
        <v>570902</v>
      </c>
      <c r="P92" s="40"/>
      <c r="Q92" s="96">
        <f t="shared" si="3"/>
        <v>0</v>
      </c>
    </row>
    <row r="93" spans="1:17" ht="12.75" hidden="1">
      <c r="A93" s="23" t="s">
        <v>79</v>
      </c>
      <c r="B93" s="23"/>
      <c r="C93" s="40">
        <v>0</v>
      </c>
      <c r="D93" s="40"/>
      <c r="E93" s="40">
        <v>0</v>
      </c>
      <c r="F93" s="40"/>
      <c r="G93" s="40">
        <v>0</v>
      </c>
      <c r="H93" s="40"/>
      <c r="I93" s="40">
        <v>0</v>
      </c>
      <c r="J93" s="40"/>
      <c r="K93" s="40">
        <v>0</v>
      </c>
      <c r="L93" s="40"/>
      <c r="M93" s="40">
        <v>0</v>
      </c>
      <c r="N93" s="40"/>
      <c r="O93" s="40">
        <f t="shared" si="2"/>
        <v>0</v>
      </c>
      <c r="P93" s="40"/>
      <c r="Q93" s="96">
        <f t="shared" si="3"/>
        <v>0</v>
      </c>
    </row>
    <row r="94" spans="1:17" ht="12.75">
      <c r="A94" s="23" t="s">
        <v>80</v>
      </c>
      <c r="B94" s="23"/>
      <c r="C94" s="40">
        <v>18912686</v>
      </c>
      <c r="D94" s="40"/>
      <c r="E94" s="40">
        <v>36115208</v>
      </c>
      <c r="F94" s="40"/>
      <c r="G94" s="40">
        <v>10530772</v>
      </c>
      <c r="H94" s="40"/>
      <c r="I94" s="40">
        <v>12967014</v>
      </c>
      <c r="J94" s="40"/>
      <c r="K94" s="40">
        <f>1505693+200902+20222+40000</f>
        <v>1766817</v>
      </c>
      <c r="L94" s="40"/>
      <c r="M94" s="40">
        <v>21381377</v>
      </c>
      <c r="N94" s="40"/>
      <c r="O94" s="40">
        <f aca="true" t="shared" si="4" ref="O94:O99">+M94+K94</f>
        <v>23148194</v>
      </c>
      <c r="P94" s="40"/>
      <c r="Q94" s="96">
        <f aca="true" t="shared" si="5" ref="Q94:Q100">+E94-I94-O94</f>
        <v>0</v>
      </c>
    </row>
    <row r="95" spans="1:17" ht="12.75">
      <c r="A95" s="23" t="s">
        <v>81</v>
      </c>
      <c r="B95" s="23"/>
      <c r="C95" s="40">
        <f>6815390+18334</f>
        <v>6833724</v>
      </c>
      <c r="D95" s="40"/>
      <c r="E95" s="40">
        <v>11674748</v>
      </c>
      <c r="F95" s="40"/>
      <c r="G95" s="40">
        <v>2638098</v>
      </c>
      <c r="H95" s="40"/>
      <c r="I95" s="40">
        <v>4071475</v>
      </c>
      <c r="J95" s="40"/>
      <c r="K95" s="40">
        <f>860957+77651</f>
        <v>938608</v>
      </c>
      <c r="L95" s="40"/>
      <c r="M95" s="40">
        <v>6664665</v>
      </c>
      <c r="N95" s="40"/>
      <c r="O95" s="40">
        <f t="shared" si="4"/>
        <v>7603273</v>
      </c>
      <c r="P95" s="40"/>
      <c r="Q95" s="96">
        <f t="shared" si="5"/>
        <v>0</v>
      </c>
    </row>
    <row r="96" spans="1:17" ht="12.75">
      <c r="A96" s="23" t="s">
        <v>82</v>
      </c>
      <c r="B96" s="23"/>
      <c r="C96" s="40">
        <f>7241388+38882</f>
        <v>7280270</v>
      </c>
      <c r="D96" s="40"/>
      <c r="E96" s="40">
        <v>15418174</v>
      </c>
      <c r="F96" s="40"/>
      <c r="G96" s="40">
        <v>4910155</v>
      </c>
      <c r="H96" s="40"/>
      <c r="I96" s="40">
        <v>6504326</v>
      </c>
      <c r="J96" s="40"/>
      <c r="K96" s="40">
        <f>2873145+123378+463910</f>
        <v>3460433</v>
      </c>
      <c r="L96" s="40"/>
      <c r="M96" s="40">
        <f>400000+5053415</f>
        <v>5453415</v>
      </c>
      <c r="N96" s="40"/>
      <c r="O96" s="40">
        <f t="shared" si="4"/>
        <v>8913848</v>
      </c>
      <c r="P96" s="40"/>
      <c r="Q96" s="96">
        <f t="shared" si="5"/>
        <v>0</v>
      </c>
    </row>
    <row r="97" spans="1:17" ht="12.75" hidden="1">
      <c r="A97" s="23" t="s">
        <v>174</v>
      </c>
      <c r="B97" s="23"/>
      <c r="C97" s="40">
        <v>0</v>
      </c>
      <c r="D97" s="40"/>
      <c r="E97" s="40">
        <v>0</v>
      </c>
      <c r="F97" s="40"/>
      <c r="G97" s="40">
        <v>0</v>
      </c>
      <c r="H97" s="40"/>
      <c r="I97" s="40">
        <v>0</v>
      </c>
      <c r="J97" s="40"/>
      <c r="K97" s="40">
        <v>0</v>
      </c>
      <c r="L97" s="40"/>
      <c r="M97" s="40">
        <v>0</v>
      </c>
      <c r="N97" s="40"/>
      <c r="O97" s="40">
        <f t="shared" si="4"/>
        <v>0</v>
      </c>
      <c r="P97" s="40"/>
      <c r="Q97" s="96">
        <f t="shared" si="5"/>
        <v>0</v>
      </c>
    </row>
    <row r="98" spans="1:17" ht="12.75">
      <c r="A98" s="23" t="s">
        <v>83</v>
      </c>
      <c r="B98" s="23"/>
      <c r="C98" s="40">
        <f>16977290+81975</f>
        <v>17059265</v>
      </c>
      <c r="D98" s="40"/>
      <c r="E98" s="40">
        <v>30405734</v>
      </c>
      <c r="F98" s="40"/>
      <c r="G98" s="40">
        <v>10006032</v>
      </c>
      <c r="H98" s="40"/>
      <c r="I98" s="40">
        <v>12029019</v>
      </c>
      <c r="J98" s="40"/>
      <c r="K98" s="40">
        <f>1029125+97506+570014</f>
        <v>1696645</v>
      </c>
      <c r="L98" s="40"/>
      <c r="M98" s="40">
        <f>897371+15782699</f>
        <v>16680070</v>
      </c>
      <c r="N98" s="40"/>
      <c r="O98" s="40">
        <f t="shared" si="4"/>
        <v>18376715</v>
      </c>
      <c r="P98" s="40"/>
      <c r="Q98" s="96">
        <f t="shared" si="5"/>
        <v>0</v>
      </c>
    </row>
    <row r="99" spans="1:17" ht="12.75" hidden="1">
      <c r="A99" s="23" t="s">
        <v>175</v>
      </c>
      <c r="B99" s="23"/>
      <c r="C99" s="24">
        <v>849668</v>
      </c>
      <c r="D99" s="24"/>
      <c r="E99" s="24">
        <v>849668</v>
      </c>
      <c r="F99" s="24"/>
      <c r="G99" s="24">
        <v>849668</v>
      </c>
      <c r="H99" s="24"/>
      <c r="I99" s="24">
        <v>849668</v>
      </c>
      <c r="J99" s="24"/>
      <c r="K99" s="24">
        <v>849668</v>
      </c>
      <c r="L99" s="24"/>
      <c r="M99" s="24">
        <v>849668</v>
      </c>
      <c r="N99" s="24"/>
      <c r="O99" s="40">
        <f t="shared" si="4"/>
        <v>1699336</v>
      </c>
      <c r="P99" s="24"/>
      <c r="Q99" s="96">
        <f t="shared" si="5"/>
        <v>-1699336</v>
      </c>
    </row>
    <row r="100" spans="1:17" ht="12.75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96">
        <f t="shared" si="5"/>
        <v>0</v>
      </c>
    </row>
    <row r="101" spans="1:16" ht="12.75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33"/>
    </row>
  </sheetData>
  <sheetProtection/>
  <printOptions/>
  <pageMargins left="1" right="1" top="0.5" bottom="0.5" header="0" footer="0.25"/>
  <pageSetup firstPageNumber="16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U101"/>
  <sheetViews>
    <sheetView zoomScalePageLayoutView="0" workbookViewId="0" topLeftCell="A1">
      <pane xSplit="1" ySplit="8" topLeftCell="B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4" sqref="I64"/>
    </sheetView>
  </sheetViews>
  <sheetFormatPr defaultColWidth="9.140625" defaultRowHeight="12.75"/>
  <cols>
    <col min="1" max="1" width="15.7109375" style="97" customWidth="1"/>
    <col min="2" max="2" width="1.7109375" style="26" customWidth="1"/>
    <col min="3" max="3" width="12.7109375" style="25" customWidth="1"/>
    <col min="4" max="4" width="1.7109375" style="25" customWidth="1"/>
    <col min="5" max="5" width="12.7109375" style="25" customWidth="1"/>
    <col min="6" max="6" width="1.7109375" style="25" customWidth="1"/>
    <col min="7" max="7" width="12.7109375" style="25" customWidth="1"/>
    <col min="8" max="8" width="1.7109375" style="25" customWidth="1"/>
    <col min="9" max="9" width="12.7109375" style="25" customWidth="1"/>
    <col min="10" max="10" width="1.7109375" style="25" customWidth="1"/>
    <col min="11" max="11" width="12.7109375" style="25" customWidth="1"/>
    <col min="12" max="12" width="1.7109375" style="25" customWidth="1"/>
    <col min="13" max="13" width="12.7109375" style="25" customWidth="1"/>
    <col min="14" max="14" width="1.7109375" style="25" customWidth="1"/>
    <col min="15" max="15" width="12.7109375" style="25" customWidth="1"/>
    <col min="16" max="16" width="9.28125" style="26" bestFit="1" customWidth="1"/>
    <col min="18" max="20" width="9.140625" style="26" customWidth="1"/>
    <col min="21" max="21" width="17.7109375" style="97" bestFit="1" customWidth="1"/>
    <col min="22" max="16384" width="9.140625" style="26" customWidth="1"/>
  </cols>
  <sheetData>
    <row r="1" spans="1:16" ht="12.75">
      <c r="A1" s="57" t="s">
        <v>234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</row>
    <row r="2" spans="1:16" ht="12.75">
      <c r="A2" s="57" t="s">
        <v>247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2.75">
      <c r="A3" s="59"/>
      <c r="B3" s="5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9"/>
    </row>
    <row r="4" spans="1:16" ht="12.75">
      <c r="A4" s="49" t="s">
        <v>184</v>
      </c>
      <c r="B4" s="19"/>
      <c r="C4" s="21"/>
      <c r="D4" s="21"/>
      <c r="E4" s="21"/>
      <c r="F4" s="21"/>
      <c r="G4" s="21"/>
      <c r="H4" s="21"/>
      <c r="I4" s="21"/>
      <c r="J4" s="21"/>
      <c r="P4" s="36"/>
    </row>
    <row r="5" spans="1:16" ht="12.75">
      <c r="A5" s="49"/>
      <c r="B5" s="19"/>
      <c r="C5" s="21"/>
      <c r="D5" s="21"/>
      <c r="E5" s="21"/>
      <c r="F5" s="21"/>
      <c r="G5" s="21"/>
      <c r="H5" s="21"/>
      <c r="I5" s="21"/>
      <c r="J5" s="21"/>
      <c r="P5" s="36"/>
    </row>
    <row r="6" spans="1:16" ht="12.75">
      <c r="A6" s="49" t="s">
        <v>253</v>
      </c>
      <c r="B6" s="19"/>
      <c r="C6" s="21"/>
      <c r="D6" s="21"/>
      <c r="E6" s="21"/>
      <c r="F6" s="21"/>
      <c r="G6" s="21"/>
      <c r="H6" s="21"/>
      <c r="I6" s="21"/>
      <c r="J6" s="21"/>
      <c r="K6" s="21" t="s">
        <v>117</v>
      </c>
      <c r="L6" s="21"/>
      <c r="M6" s="21" t="s">
        <v>235</v>
      </c>
      <c r="N6" s="21"/>
      <c r="O6" s="21" t="s">
        <v>4</v>
      </c>
      <c r="P6" s="36"/>
    </row>
    <row r="7" spans="1:21" ht="12.75">
      <c r="A7" s="19"/>
      <c r="B7" s="19"/>
      <c r="C7" s="21" t="s">
        <v>118</v>
      </c>
      <c r="D7" s="21"/>
      <c r="E7" s="21" t="s">
        <v>4</v>
      </c>
      <c r="F7" s="21"/>
      <c r="G7" s="21" t="s">
        <v>119</v>
      </c>
      <c r="H7" s="21"/>
      <c r="I7" s="21" t="s">
        <v>4</v>
      </c>
      <c r="J7" s="21"/>
      <c r="K7" s="21" t="s">
        <v>120</v>
      </c>
      <c r="L7" s="21"/>
      <c r="M7" s="21" t="s">
        <v>120</v>
      </c>
      <c r="N7" s="21"/>
      <c r="O7" s="21" t="s">
        <v>120</v>
      </c>
      <c r="P7" s="36"/>
      <c r="U7" s="28" t="s">
        <v>206</v>
      </c>
    </row>
    <row r="8" spans="1:21" s="60" customFormat="1" ht="12.75">
      <c r="A8" s="22" t="s">
        <v>5</v>
      </c>
      <c r="B8" s="19"/>
      <c r="C8" s="20" t="s">
        <v>121</v>
      </c>
      <c r="D8" s="21"/>
      <c r="E8" s="20" t="s">
        <v>116</v>
      </c>
      <c r="F8" s="21"/>
      <c r="G8" s="20" t="s">
        <v>11</v>
      </c>
      <c r="H8" s="21"/>
      <c r="I8" s="20" t="s">
        <v>122</v>
      </c>
      <c r="J8" s="21"/>
      <c r="K8" s="20" t="s">
        <v>123</v>
      </c>
      <c r="L8" s="21"/>
      <c r="M8" s="20" t="s">
        <v>123</v>
      </c>
      <c r="N8" s="21"/>
      <c r="O8" s="20" t="s">
        <v>123</v>
      </c>
      <c r="P8" s="36"/>
      <c r="U8" s="98"/>
    </row>
    <row r="9" spans="1:21" s="60" customFormat="1" ht="12.75">
      <c r="A9" s="1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6"/>
      <c r="U9" s="98"/>
    </row>
    <row r="10" spans="1:21" ht="12.75" hidden="1">
      <c r="A10" s="89" t="s">
        <v>237</v>
      </c>
      <c r="B10" s="19"/>
      <c r="C10" s="61">
        <v>0</v>
      </c>
      <c r="D10" s="61"/>
      <c r="E10" s="61">
        <v>0</v>
      </c>
      <c r="F10" s="61"/>
      <c r="G10" s="61">
        <v>0</v>
      </c>
      <c r="H10" s="61"/>
      <c r="I10" s="61">
        <v>0</v>
      </c>
      <c r="J10" s="61"/>
      <c r="K10" s="61">
        <v>0</v>
      </c>
      <c r="L10" s="61"/>
      <c r="M10" s="61">
        <v>0</v>
      </c>
      <c r="N10" s="61"/>
      <c r="O10" s="61">
        <f>+M10+K10</f>
        <v>0</v>
      </c>
      <c r="P10" s="40"/>
      <c r="U10" s="96">
        <f aca="true" t="shared" si="0" ref="U10:U41">+E10-I10-O10</f>
        <v>0</v>
      </c>
    </row>
    <row r="11" spans="1:21" ht="12.75">
      <c r="A11" s="23" t="s">
        <v>13</v>
      </c>
      <c r="B11" s="23"/>
      <c r="C11" s="61">
        <f>33134440+439170</f>
        <v>33573610</v>
      </c>
      <c r="D11" s="61"/>
      <c r="E11" s="61">
        <v>65374440</v>
      </c>
      <c r="F11" s="61"/>
      <c r="G11" s="61">
        <v>26008197</v>
      </c>
      <c r="H11" s="61"/>
      <c r="I11" s="61">
        <v>31241872</v>
      </c>
      <c r="J11" s="61"/>
      <c r="K11" s="61">
        <f>301658+6844331+161177+1266980</f>
        <v>8574146</v>
      </c>
      <c r="L11" s="61"/>
      <c r="M11" s="61">
        <f>552991+18640316+1293173+5071942</f>
        <v>25558422</v>
      </c>
      <c r="N11" s="61"/>
      <c r="O11" s="61">
        <f>+M11+K11</f>
        <v>34132568</v>
      </c>
      <c r="P11" s="40"/>
      <c r="U11" s="96">
        <f t="shared" si="0"/>
        <v>0</v>
      </c>
    </row>
    <row r="12" spans="1:21" ht="12.75">
      <c r="A12" s="23" t="s">
        <v>14</v>
      </c>
      <c r="B12" s="23"/>
      <c r="C12" s="40">
        <f>16452108+44485</f>
        <v>16496593</v>
      </c>
      <c r="D12" s="40"/>
      <c r="E12" s="40">
        <v>30472323</v>
      </c>
      <c r="F12" s="40"/>
      <c r="G12" s="40">
        <v>11412682</v>
      </c>
      <c r="H12" s="40"/>
      <c r="I12" s="40">
        <v>13500408</v>
      </c>
      <c r="J12" s="40"/>
      <c r="K12" s="40">
        <f>64692+29488+1939223</f>
        <v>2033403</v>
      </c>
      <c r="L12" s="40"/>
      <c r="M12" s="40">
        <f>2734363+11511022+693127</f>
        <v>14938512</v>
      </c>
      <c r="N12" s="40"/>
      <c r="O12" s="40">
        <f aca="true" t="shared" si="1" ref="O12:O28">+M12+K12</f>
        <v>16971915</v>
      </c>
      <c r="P12" s="40"/>
      <c r="U12" s="96">
        <f t="shared" si="0"/>
        <v>0</v>
      </c>
    </row>
    <row r="13" spans="1:21" ht="12.75">
      <c r="A13" s="23" t="s">
        <v>15</v>
      </c>
      <c r="B13" s="23"/>
      <c r="C13" s="40">
        <f>33157987+2129015+1126593</f>
        <v>36413595</v>
      </c>
      <c r="D13" s="40"/>
      <c r="E13" s="40">
        <v>64093970</v>
      </c>
      <c r="F13" s="40"/>
      <c r="G13" s="40">
        <v>21023352</v>
      </c>
      <c r="H13" s="40"/>
      <c r="I13" s="40">
        <v>26910957</v>
      </c>
      <c r="J13" s="40"/>
      <c r="K13" s="40">
        <f>1900730+90000+2051393</f>
        <v>4042123</v>
      </c>
      <c r="L13" s="40"/>
      <c r="M13" s="40">
        <f>3671869+28339776+400428+728817</f>
        <v>33140890</v>
      </c>
      <c r="N13" s="40"/>
      <c r="O13" s="40">
        <f t="shared" si="1"/>
        <v>37183013</v>
      </c>
      <c r="P13" s="40"/>
      <c r="U13" s="96">
        <f t="shared" si="0"/>
        <v>0</v>
      </c>
    </row>
    <row r="14" spans="1:21" ht="12.75">
      <c r="A14" s="23" t="s">
        <v>16</v>
      </c>
      <c r="B14" s="23"/>
      <c r="C14" s="40">
        <f>19195379+95851</f>
        <v>19291230</v>
      </c>
      <c r="D14" s="40"/>
      <c r="E14" s="40">
        <v>36618042</v>
      </c>
      <c r="F14" s="40"/>
      <c r="G14" s="40">
        <v>12729154</v>
      </c>
      <c r="H14" s="40"/>
      <c r="I14" s="40">
        <v>16185735</v>
      </c>
      <c r="J14" s="40"/>
      <c r="K14" s="40">
        <f>561414+183821</f>
        <v>745235</v>
      </c>
      <c r="L14" s="40"/>
      <c r="M14" s="40">
        <f>3507142+15441507+7249+731174</f>
        <v>19687072</v>
      </c>
      <c r="N14" s="40"/>
      <c r="O14" s="40">
        <f t="shared" si="1"/>
        <v>20432307</v>
      </c>
      <c r="P14" s="40"/>
      <c r="U14" s="96">
        <f t="shared" si="0"/>
        <v>0</v>
      </c>
    </row>
    <row r="15" spans="1:21" ht="12.75">
      <c r="A15" s="23" t="s">
        <v>17</v>
      </c>
      <c r="B15" s="23"/>
      <c r="C15" s="40">
        <f>19653800+549447</f>
        <v>20203247</v>
      </c>
      <c r="D15" s="40"/>
      <c r="E15" s="40">
        <v>35312774</v>
      </c>
      <c r="F15" s="40"/>
      <c r="G15" s="40">
        <v>10418192</v>
      </c>
      <c r="H15" s="40"/>
      <c r="I15" s="40">
        <v>12877269</v>
      </c>
      <c r="J15" s="40"/>
      <c r="K15" s="40">
        <f>273813+951067</f>
        <v>1224880</v>
      </c>
      <c r="L15" s="40"/>
      <c r="M15" s="40">
        <f>3806393+9794911+300285+7309036</f>
        <v>21210625</v>
      </c>
      <c r="N15" s="40"/>
      <c r="O15" s="40">
        <f t="shared" si="1"/>
        <v>22435505</v>
      </c>
      <c r="P15" s="40"/>
      <c r="U15" s="96">
        <f t="shared" si="0"/>
        <v>0</v>
      </c>
    </row>
    <row r="16" spans="1:21" ht="12.75">
      <c r="A16" s="23" t="s">
        <v>18</v>
      </c>
      <c r="B16" s="23"/>
      <c r="C16" s="40">
        <f>33921800+5306+1124140</f>
        <v>35051246</v>
      </c>
      <c r="D16" s="40"/>
      <c r="E16" s="40">
        <v>59015826</v>
      </c>
      <c r="F16" s="40"/>
      <c r="G16" s="40">
        <v>15366477</v>
      </c>
      <c r="H16" s="40"/>
      <c r="I16" s="40">
        <v>24326860</v>
      </c>
      <c r="J16" s="40"/>
      <c r="K16" s="40">
        <f>3373608+1239213+35188+426714</f>
        <v>5074723</v>
      </c>
      <c r="L16" s="40"/>
      <c r="M16" s="40">
        <f>136220+3559701+16127447+843226+8947649</f>
        <v>29614243</v>
      </c>
      <c r="N16" s="40"/>
      <c r="O16" s="40">
        <f t="shared" si="1"/>
        <v>34688966</v>
      </c>
      <c r="P16" s="40"/>
      <c r="U16" s="96">
        <f t="shared" si="0"/>
        <v>0</v>
      </c>
    </row>
    <row r="17" spans="1:21" ht="12.75" hidden="1">
      <c r="A17" s="23" t="s">
        <v>240</v>
      </c>
      <c r="B17" s="2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>
        <f t="shared" si="1"/>
        <v>0</v>
      </c>
      <c r="P17" s="40"/>
      <c r="U17" s="96">
        <f t="shared" si="0"/>
        <v>0</v>
      </c>
    </row>
    <row r="18" spans="1:21" ht="12.75">
      <c r="A18" s="23" t="s">
        <v>252</v>
      </c>
      <c r="B18" s="23"/>
      <c r="C18" s="40">
        <f>142144664+550527</f>
        <v>142695191</v>
      </c>
      <c r="D18" s="40"/>
      <c r="E18" s="40">
        <v>298176653</v>
      </c>
      <c r="F18" s="40"/>
      <c r="G18" s="40">
        <v>34643000</v>
      </c>
      <c r="H18" s="40"/>
      <c r="I18" s="40">
        <v>170693310</v>
      </c>
      <c r="J18" s="40"/>
      <c r="K18" s="40">
        <f>10416686+713002+884411+45317+4485000</f>
        <v>16544416</v>
      </c>
      <c r="L18" s="40"/>
      <c r="M18" s="40">
        <f>16953260+12886743+75387168+11421747-5709991</f>
        <v>110938927</v>
      </c>
      <c r="N18" s="40"/>
      <c r="O18" s="40">
        <f t="shared" si="1"/>
        <v>127483343</v>
      </c>
      <c r="P18" s="40"/>
      <c r="U18" s="96">
        <f t="shared" si="0"/>
        <v>0</v>
      </c>
    </row>
    <row r="19" spans="1:21" ht="12.75">
      <c r="A19" s="23" t="s">
        <v>20</v>
      </c>
      <c r="B19" s="23"/>
      <c r="C19" s="40">
        <f>6395875+50766</f>
        <v>6446641</v>
      </c>
      <c r="D19" s="40"/>
      <c r="E19" s="40">
        <v>14787540</v>
      </c>
      <c r="F19" s="40"/>
      <c r="G19" s="40">
        <v>2181827</v>
      </c>
      <c r="H19" s="40"/>
      <c r="I19" s="40">
        <v>7368421</v>
      </c>
      <c r="J19" s="40"/>
      <c r="K19" s="40">
        <f>307230+70060+358856+24485+25239</f>
        <v>785870</v>
      </c>
      <c r="L19" s="40"/>
      <c r="M19" s="40">
        <f>975443+5171104+486702</f>
        <v>6633249</v>
      </c>
      <c r="N19" s="40"/>
      <c r="O19" s="40">
        <f t="shared" si="1"/>
        <v>7419119</v>
      </c>
      <c r="P19" s="40"/>
      <c r="U19" s="96">
        <f t="shared" si="0"/>
        <v>0</v>
      </c>
    </row>
    <row r="20" spans="1:21" ht="12.75" hidden="1">
      <c r="A20" s="23" t="s">
        <v>172</v>
      </c>
      <c r="B20" s="23"/>
      <c r="C20" s="40">
        <v>0</v>
      </c>
      <c r="D20" s="40"/>
      <c r="E20" s="40">
        <v>0</v>
      </c>
      <c r="F20" s="40"/>
      <c r="G20" s="40">
        <v>0</v>
      </c>
      <c r="H20" s="40"/>
      <c r="I20" s="40">
        <v>0</v>
      </c>
      <c r="J20" s="40"/>
      <c r="K20" s="40">
        <v>0</v>
      </c>
      <c r="L20" s="40"/>
      <c r="M20" s="40">
        <v>0</v>
      </c>
      <c r="N20" s="40"/>
      <c r="O20" s="40">
        <f t="shared" si="1"/>
        <v>0</v>
      </c>
      <c r="P20" s="40"/>
      <c r="U20" s="96">
        <f t="shared" si="0"/>
        <v>0</v>
      </c>
    </row>
    <row r="21" spans="1:21" ht="12.75">
      <c r="A21" s="23" t="s">
        <v>21</v>
      </c>
      <c r="B21" s="23"/>
      <c r="C21" s="40">
        <f>37556413+504580+316399</f>
        <v>38377392</v>
      </c>
      <c r="D21" s="40"/>
      <c r="E21" s="40">
        <v>95246766</v>
      </c>
      <c r="F21" s="40"/>
      <c r="G21" s="40">
        <v>49596446</v>
      </c>
      <c r="H21" s="40"/>
      <c r="I21" s="40">
        <v>64111972</v>
      </c>
      <c r="J21" s="40"/>
      <c r="K21" s="40">
        <f>8580717+161876+379753+74787</f>
        <v>9197133</v>
      </c>
      <c r="L21" s="40"/>
      <c r="M21" s="40">
        <f>7066027+20414715+85770+57935-5686786</f>
        <v>21937661</v>
      </c>
      <c r="N21" s="40"/>
      <c r="O21" s="40">
        <f t="shared" si="1"/>
        <v>31134794</v>
      </c>
      <c r="P21" s="40"/>
      <c r="U21" s="96">
        <f t="shared" si="0"/>
        <v>0</v>
      </c>
    </row>
    <row r="22" spans="1:21" ht="12.75">
      <c r="A22" s="23" t="s">
        <v>181</v>
      </c>
      <c r="B22" s="23"/>
      <c r="C22" s="40">
        <f>60318016+3811</f>
        <v>60321827</v>
      </c>
      <c r="D22" s="40"/>
      <c r="E22" s="40">
        <v>110426501</v>
      </c>
      <c r="F22" s="40"/>
      <c r="G22" s="40">
        <v>43597624</v>
      </c>
      <c r="H22" s="40"/>
      <c r="I22" s="40">
        <v>52669578</v>
      </c>
      <c r="J22" s="40"/>
      <c r="K22" s="40">
        <f>2308903+108130+1519690+148038</f>
        <v>4084761</v>
      </c>
      <c r="L22" s="40"/>
      <c r="M22" s="40">
        <f>20504943+15542215+388598+14936406+2300000</f>
        <v>53672162</v>
      </c>
      <c r="N22" s="40"/>
      <c r="O22" s="40">
        <f t="shared" si="1"/>
        <v>57756923</v>
      </c>
      <c r="P22" s="40"/>
      <c r="U22" s="96">
        <f t="shared" si="0"/>
        <v>0</v>
      </c>
    </row>
    <row r="23" spans="1:21" ht="12.75">
      <c r="A23" s="23" t="s">
        <v>22</v>
      </c>
      <c r="B23" s="23"/>
      <c r="C23" s="40">
        <v>12585910</v>
      </c>
      <c r="D23" s="40"/>
      <c r="E23" s="40">
        <v>25623771</v>
      </c>
      <c r="F23" s="40"/>
      <c r="G23" s="40">
        <v>10522715</v>
      </c>
      <c r="H23" s="40"/>
      <c r="I23" s="40">
        <v>12592042</v>
      </c>
      <c r="J23" s="40"/>
      <c r="K23" s="40">
        <f>835044+77683+25680+108808</f>
        <v>1047215</v>
      </c>
      <c r="L23" s="40"/>
      <c r="M23" s="40">
        <f>2405974+7815977+1743637+18926</f>
        <v>11984514</v>
      </c>
      <c r="N23" s="40"/>
      <c r="O23" s="40">
        <f>+M23+K23</f>
        <v>13031729</v>
      </c>
      <c r="P23" s="40"/>
      <c r="U23" s="96">
        <f t="shared" si="0"/>
        <v>0</v>
      </c>
    </row>
    <row r="24" spans="1:21" ht="12.75" hidden="1">
      <c r="A24" s="23" t="s">
        <v>23</v>
      </c>
      <c r="B24" s="23"/>
      <c r="C24" s="40">
        <v>0</v>
      </c>
      <c r="D24" s="40"/>
      <c r="E24" s="40">
        <v>0</v>
      </c>
      <c r="F24" s="40"/>
      <c r="G24" s="40">
        <v>0</v>
      </c>
      <c r="H24" s="40"/>
      <c r="I24" s="40">
        <v>0</v>
      </c>
      <c r="J24" s="40"/>
      <c r="K24" s="40">
        <v>0</v>
      </c>
      <c r="L24" s="40"/>
      <c r="M24" s="40">
        <v>0</v>
      </c>
      <c r="N24" s="40"/>
      <c r="O24" s="40">
        <f t="shared" si="1"/>
        <v>0</v>
      </c>
      <c r="P24" s="40"/>
      <c r="U24" s="96">
        <f t="shared" si="0"/>
        <v>0</v>
      </c>
    </row>
    <row r="25" spans="1:21" ht="12.75">
      <c r="A25" s="23" t="s">
        <v>24</v>
      </c>
      <c r="B25" s="23"/>
      <c r="C25" s="40">
        <f>10783530+1619201+226</f>
        <v>12402957</v>
      </c>
      <c r="D25" s="40"/>
      <c r="E25" s="40">
        <v>23946240</v>
      </c>
      <c r="F25" s="40"/>
      <c r="G25" s="40">
        <v>3979085</v>
      </c>
      <c r="H25" s="40"/>
      <c r="I25" s="40">
        <v>11360160</v>
      </c>
      <c r="J25" s="40"/>
      <c r="K25" s="40">
        <f>1553800+86060+207805</f>
        <v>1847665</v>
      </c>
      <c r="L25" s="40"/>
      <c r="M25" s="40">
        <f>1576464+8756380+177712+227859</f>
        <v>10738415</v>
      </c>
      <c r="N25" s="40"/>
      <c r="O25" s="40">
        <f t="shared" si="1"/>
        <v>12586080</v>
      </c>
      <c r="P25" s="40"/>
      <c r="U25" s="96">
        <f t="shared" si="0"/>
        <v>0</v>
      </c>
    </row>
    <row r="26" spans="1:21" ht="12.75">
      <c r="A26" s="23" t="s">
        <v>243</v>
      </c>
      <c r="B26" s="23"/>
      <c r="C26" s="40">
        <f>15325940+107349</f>
        <v>15433289</v>
      </c>
      <c r="D26" s="40"/>
      <c r="E26" s="40">
        <v>28364946</v>
      </c>
      <c r="F26" s="40"/>
      <c r="G26" s="40">
        <v>9859183</v>
      </c>
      <c r="H26" s="40"/>
      <c r="I26" s="40">
        <v>12457194</v>
      </c>
      <c r="J26" s="40"/>
      <c r="K26" s="40">
        <f>823655+183127</f>
        <v>1006782</v>
      </c>
      <c r="L26" s="40"/>
      <c r="M26" s="40">
        <f>3982442+10737672+168277+12579</f>
        <v>14900970</v>
      </c>
      <c r="N26" s="40"/>
      <c r="O26" s="40">
        <f t="shared" si="1"/>
        <v>15907752</v>
      </c>
      <c r="P26" s="40"/>
      <c r="U26" s="96">
        <f t="shared" si="0"/>
        <v>0</v>
      </c>
    </row>
    <row r="27" spans="1:21" ht="12.75">
      <c r="A27" s="23" t="s">
        <v>25</v>
      </c>
      <c r="B27" s="23"/>
      <c r="C27" s="40">
        <f>307054*1000</f>
        <v>307054000</v>
      </c>
      <c r="D27" s="40"/>
      <c r="E27" s="40">
        <f>1083054*1000</f>
        <v>1083054000</v>
      </c>
      <c r="F27" s="40"/>
      <c r="G27" s="40">
        <v>0</v>
      </c>
      <c r="H27" s="40"/>
      <c r="I27" s="40">
        <f>637712*1000</f>
        <v>637712000</v>
      </c>
      <c r="J27" s="40"/>
      <c r="K27" s="40">
        <f>83535*1000</f>
        <v>83535000</v>
      </c>
      <c r="L27" s="40"/>
      <c r="M27" s="40">
        <f>361807*1000</f>
        <v>361807000</v>
      </c>
      <c r="N27" s="40"/>
      <c r="O27" s="40">
        <f t="shared" si="1"/>
        <v>445342000</v>
      </c>
      <c r="P27" s="40"/>
      <c r="U27" s="96">
        <f t="shared" si="0"/>
        <v>0</v>
      </c>
    </row>
    <row r="28" spans="1:21" ht="12.75">
      <c r="A28" s="23" t="s">
        <v>26</v>
      </c>
      <c r="B28" s="23"/>
      <c r="C28" s="40">
        <f>15157147+720247+10000</f>
        <v>15887394</v>
      </c>
      <c r="D28" s="40"/>
      <c r="E28" s="40">
        <v>30206659</v>
      </c>
      <c r="F28" s="40"/>
      <c r="G28" s="40">
        <v>9054033</v>
      </c>
      <c r="H28" s="40"/>
      <c r="I28" s="40">
        <v>13980353</v>
      </c>
      <c r="J28" s="40"/>
      <c r="K28" s="40">
        <f>792689+38018+386713+15+1085093+109314</f>
        <v>2411842</v>
      </c>
      <c r="L28" s="40"/>
      <c r="M28" s="40">
        <f>3148315+13844669-3178520</f>
        <v>13814464</v>
      </c>
      <c r="N28" s="40"/>
      <c r="O28" s="40">
        <f t="shared" si="1"/>
        <v>16226306</v>
      </c>
      <c r="P28" s="40"/>
      <c r="U28" s="96">
        <f t="shared" si="0"/>
        <v>0</v>
      </c>
    </row>
    <row r="29" spans="1:21" ht="12.75">
      <c r="A29" s="23" t="s">
        <v>27</v>
      </c>
      <c r="B29" s="23"/>
      <c r="C29" s="40">
        <f>25211557+139267</f>
        <v>25350824</v>
      </c>
      <c r="D29" s="40"/>
      <c r="E29" s="40">
        <v>43345477</v>
      </c>
      <c r="F29" s="40"/>
      <c r="G29" s="40">
        <v>7177005</v>
      </c>
      <c r="H29" s="40"/>
      <c r="I29" s="40">
        <v>15798408</v>
      </c>
      <c r="J29" s="40"/>
      <c r="K29" s="40">
        <f>565080+95200+894162+430957+1661142+152636+2297345</f>
        <v>6096522</v>
      </c>
      <c r="L29" s="40"/>
      <c r="M29" s="40">
        <f>42517+6534019+11046021-240335+4068325</f>
        <v>21450547</v>
      </c>
      <c r="N29" s="40"/>
      <c r="O29" s="40">
        <f aca="true" t="shared" si="2" ref="O29:O93">+M29+K29</f>
        <v>27547069</v>
      </c>
      <c r="P29" s="40"/>
      <c r="U29" s="96">
        <f t="shared" si="0"/>
        <v>0</v>
      </c>
    </row>
    <row r="30" spans="1:21" ht="12.75">
      <c r="A30" s="23" t="s">
        <v>28</v>
      </c>
      <c r="B30" s="23"/>
      <c r="C30" s="40">
        <f>89206851+7624</f>
        <v>89214475</v>
      </c>
      <c r="D30" s="40"/>
      <c r="E30" s="40">
        <v>135357296</v>
      </c>
      <c r="F30" s="40"/>
      <c r="G30" s="40">
        <v>35500993</v>
      </c>
      <c r="H30" s="40"/>
      <c r="I30" s="40">
        <v>42807775</v>
      </c>
      <c r="J30" s="40"/>
      <c r="K30" s="40">
        <f>5363259+495938</f>
        <v>5859197</v>
      </c>
      <c r="L30" s="40"/>
      <c r="M30" s="40">
        <f>18201037+62323416+25876+6139995</f>
        <v>86690324</v>
      </c>
      <c r="N30" s="40"/>
      <c r="O30" s="40">
        <f t="shared" si="2"/>
        <v>92549521</v>
      </c>
      <c r="P30" s="40"/>
      <c r="U30" s="96">
        <f t="shared" si="0"/>
        <v>0</v>
      </c>
    </row>
    <row r="31" spans="1:21" ht="12.75">
      <c r="A31" s="23" t="s">
        <v>29</v>
      </c>
      <c r="B31" s="23"/>
      <c r="C31" s="40">
        <f>23258212+472783</f>
        <v>23730995</v>
      </c>
      <c r="D31" s="40"/>
      <c r="E31" s="40">
        <v>48675883</v>
      </c>
      <c r="F31" s="40"/>
      <c r="G31" s="40">
        <v>7053147</v>
      </c>
      <c r="H31" s="40"/>
      <c r="I31" s="40">
        <v>24954286</v>
      </c>
      <c r="J31" s="40"/>
      <c r="K31" s="40">
        <f>151324+1292533+190747+6401</f>
        <v>1641005</v>
      </c>
      <c r="L31" s="40"/>
      <c r="M31" s="40">
        <f>1187567+7871779+12781891+239355</f>
        <v>22080592</v>
      </c>
      <c r="N31" s="40"/>
      <c r="O31" s="40">
        <f t="shared" si="2"/>
        <v>23721597</v>
      </c>
      <c r="P31" s="40"/>
      <c r="U31" s="96">
        <f t="shared" si="0"/>
        <v>0</v>
      </c>
    </row>
    <row r="32" spans="1:21" ht="12.75">
      <c r="A32" s="23" t="s">
        <v>30</v>
      </c>
      <c r="B32" s="23"/>
      <c r="C32" s="40">
        <f>48859008+209703+58529</f>
        <v>49127240</v>
      </c>
      <c r="D32" s="40"/>
      <c r="E32" s="40">
        <v>91586238</v>
      </c>
      <c r="F32" s="40"/>
      <c r="G32" s="40">
        <v>33842156</v>
      </c>
      <c r="H32" s="40"/>
      <c r="I32" s="40">
        <v>43809957</v>
      </c>
      <c r="J32" s="40"/>
      <c r="K32" s="40">
        <f>5007677+319168+788340</f>
        <v>6115185</v>
      </c>
      <c r="L32" s="40"/>
      <c r="M32" s="40">
        <f>218395+161013+14467855+24696901+770551+1346381</f>
        <v>41661096</v>
      </c>
      <c r="N32" s="40"/>
      <c r="O32" s="40">
        <f t="shared" si="2"/>
        <v>47776281</v>
      </c>
      <c r="P32" s="40"/>
      <c r="U32" s="96">
        <f t="shared" si="0"/>
        <v>0</v>
      </c>
    </row>
    <row r="33" spans="1:21" ht="12.75" hidden="1">
      <c r="A33" s="23" t="s">
        <v>239</v>
      </c>
      <c r="B33" s="23"/>
      <c r="C33" s="40">
        <v>0</v>
      </c>
      <c r="D33" s="40"/>
      <c r="E33" s="40">
        <v>0</v>
      </c>
      <c r="F33" s="40"/>
      <c r="G33" s="40">
        <v>0</v>
      </c>
      <c r="H33" s="40"/>
      <c r="I33" s="40">
        <v>0</v>
      </c>
      <c r="J33" s="40"/>
      <c r="K33" s="40">
        <v>0</v>
      </c>
      <c r="L33" s="40"/>
      <c r="M33" s="40">
        <v>0</v>
      </c>
      <c r="N33" s="40"/>
      <c r="O33" s="40">
        <f t="shared" si="2"/>
        <v>0</v>
      </c>
      <c r="P33" s="40"/>
      <c r="U33" s="96">
        <f t="shared" si="0"/>
        <v>0</v>
      </c>
    </row>
    <row r="34" spans="1:21" ht="12.75">
      <c r="A34" s="23" t="s">
        <v>32</v>
      </c>
      <c r="B34" s="23"/>
      <c r="C34" s="40">
        <f>(751850+2646)*1000</f>
        <v>754496000</v>
      </c>
      <c r="D34" s="40"/>
      <c r="E34" s="40">
        <f>1424965*1000</f>
        <v>1424965000</v>
      </c>
      <c r="F34" s="40"/>
      <c r="G34" s="40">
        <f>155887*1000</f>
        <v>155887000</v>
      </c>
      <c r="H34" s="40"/>
      <c r="I34" s="40">
        <f>646833*1000</f>
        <v>646833000</v>
      </c>
      <c r="J34" s="40"/>
      <c r="K34" s="40">
        <f>(12841+4875+4068)*1000</f>
        <v>21784000</v>
      </c>
      <c r="L34" s="40"/>
      <c r="M34" s="40">
        <f>(18465+14503+232103+347120+3961+140196)*1000</f>
        <v>756348000</v>
      </c>
      <c r="N34" s="40"/>
      <c r="O34" s="40">
        <f t="shared" si="2"/>
        <v>778132000</v>
      </c>
      <c r="P34" s="40"/>
      <c r="U34" s="96">
        <f t="shared" si="0"/>
        <v>0</v>
      </c>
    </row>
    <row r="35" spans="1:21" ht="12.75">
      <c r="A35" s="23" t="s">
        <v>33</v>
      </c>
      <c r="B35" s="23"/>
      <c r="C35" s="40">
        <f>18731956+364475</f>
        <v>19096431</v>
      </c>
      <c r="D35" s="40"/>
      <c r="E35" s="40">
        <f>36876096</f>
        <v>36876096</v>
      </c>
      <c r="F35" s="40"/>
      <c r="G35" s="40">
        <v>6516925</v>
      </c>
      <c r="H35" s="40"/>
      <c r="I35" s="40">
        <v>15617741</v>
      </c>
      <c r="J35" s="40"/>
      <c r="K35" s="40">
        <f>1428313+48148+187661+222703+447266</f>
        <v>2334091</v>
      </c>
      <c r="L35" s="40"/>
      <c r="M35" s="40">
        <f>500000+3595166+13965444+43119+820535</f>
        <v>18924264</v>
      </c>
      <c r="N35" s="40"/>
      <c r="O35" s="40">
        <f t="shared" si="2"/>
        <v>21258355</v>
      </c>
      <c r="P35" s="40"/>
      <c r="U35" s="96">
        <f t="shared" si="0"/>
        <v>0</v>
      </c>
    </row>
    <row r="36" spans="1:21" ht="12.75">
      <c r="A36" s="23" t="s">
        <v>34</v>
      </c>
      <c r="B36" s="23"/>
      <c r="C36" s="40">
        <f>4314654+22501</f>
        <v>4337155</v>
      </c>
      <c r="D36" s="40"/>
      <c r="E36" s="40">
        <v>14670970</v>
      </c>
      <c r="F36" s="40"/>
      <c r="G36" s="40">
        <v>6642468</v>
      </c>
      <c r="H36" s="40"/>
      <c r="I36" s="40">
        <v>8575325</v>
      </c>
      <c r="J36" s="40"/>
      <c r="K36" s="40">
        <f>392886+61426+54380</f>
        <v>508692</v>
      </c>
      <c r="L36" s="40"/>
      <c r="M36" s="40">
        <f>1725185+3848292+13476</f>
        <v>5586953</v>
      </c>
      <c r="N36" s="40"/>
      <c r="O36" s="40">
        <f t="shared" si="2"/>
        <v>6095645</v>
      </c>
      <c r="P36" s="40"/>
      <c r="U36" s="96">
        <f t="shared" si="0"/>
        <v>0</v>
      </c>
    </row>
    <row r="37" spans="1:21" ht="12.75">
      <c r="A37" s="23" t="s">
        <v>35</v>
      </c>
      <c r="B37" s="23"/>
      <c r="C37" s="40">
        <f>37171834+29898</f>
        <v>37201732</v>
      </c>
      <c r="D37" s="40"/>
      <c r="E37" s="40">
        <v>81699723</v>
      </c>
      <c r="F37" s="40"/>
      <c r="G37" s="40">
        <v>38104488</v>
      </c>
      <c r="H37" s="40"/>
      <c r="I37" s="40">
        <v>52088398</v>
      </c>
      <c r="J37" s="40"/>
      <c r="K37" s="40">
        <f>4550130+3153509</f>
        <v>7703639</v>
      </c>
      <c r="L37" s="40"/>
      <c r="M37" s="40">
        <f>200000+5513794+16337114+1965172-2108394</f>
        <v>21907686</v>
      </c>
      <c r="N37" s="40"/>
      <c r="O37" s="40">
        <f t="shared" si="2"/>
        <v>29611325</v>
      </c>
      <c r="P37" s="40"/>
      <c r="U37" s="96">
        <f t="shared" si="0"/>
        <v>0</v>
      </c>
    </row>
    <row r="38" spans="1:21" ht="12.75">
      <c r="A38" s="23" t="s">
        <v>226</v>
      </c>
      <c r="B38" s="23"/>
      <c r="C38" s="40">
        <f>56118544+144956</f>
        <v>56263500</v>
      </c>
      <c r="D38" s="40"/>
      <c r="E38" s="40">
        <v>109622811</v>
      </c>
      <c r="F38" s="40"/>
      <c r="G38" s="40">
        <v>46431863</v>
      </c>
      <c r="H38" s="40"/>
      <c r="I38" s="40">
        <v>62681180</v>
      </c>
      <c r="J38" s="40"/>
      <c r="K38" s="40">
        <f>5111376+74663+104874</f>
        <v>5290913</v>
      </c>
      <c r="L38" s="40"/>
      <c r="M38" s="40">
        <f>1750000+11231409+37603770+220570</f>
        <v>50805749</v>
      </c>
      <c r="N38" s="40"/>
      <c r="O38" s="40">
        <f t="shared" si="2"/>
        <v>56096662</v>
      </c>
      <c r="P38" s="40"/>
      <c r="U38" s="96">
        <f t="shared" si="0"/>
        <v>-9155031</v>
      </c>
    </row>
    <row r="39" spans="1:21" ht="12.75" hidden="1">
      <c r="A39" s="23" t="s">
        <v>244</v>
      </c>
      <c r="B39" s="2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f t="shared" si="2"/>
        <v>0</v>
      </c>
      <c r="P39" s="40"/>
      <c r="U39" s="96">
        <f t="shared" si="0"/>
        <v>0</v>
      </c>
    </row>
    <row r="40" spans="1:21" ht="12.75">
      <c r="A40" s="23" t="s">
        <v>37</v>
      </c>
      <c r="B40" s="23"/>
      <c r="C40" s="40">
        <f>264076000+118000</f>
        <v>264194000</v>
      </c>
      <c r="D40" s="40"/>
      <c r="E40" s="40">
        <v>661287000</v>
      </c>
      <c r="F40" s="40"/>
      <c r="G40" s="40">
        <v>337422000</v>
      </c>
      <c r="H40" s="40"/>
      <c r="I40" s="40">
        <v>432985000</v>
      </c>
      <c r="J40" s="40"/>
      <c r="K40" s="40">
        <f>5173000+2000000+2772000+37957000+2033000+1567000</f>
        <v>51502000</v>
      </c>
      <c r="L40" s="40"/>
      <c r="M40" s="40">
        <f>8809000+32874000+134489000+2161000-1533000</f>
        <v>176800000</v>
      </c>
      <c r="N40" s="40"/>
      <c r="O40" s="40">
        <f>+M40+K40</f>
        <v>228302000</v>
      </c>
      <c r="P40" s="40"/>
      <c r="U40" s="96">
        <f t="shared" si="0"/>
        <v>0</v>
      </c>
    </row>
    <row r="41" spans="1:21" ht="12.75">
      <c r="A41" s="23" t="s">
        <v>38</v>
      </c>
      <c r="B41" s="23"/>
      <c r="C41" s="40">
        <f>21838696+263292</f>
        <v>22101988</v>
      </c>
      <c r="D41" s="40"/>
      <c r="E41" s="40">
        <v>56315649</v>
      </c>
      <c r="F41" s="40"/>
      <c r="G41" s="40">
        <v>31190015</v>
      </c>
      <c r="H41" s="40"/>
      <c r="I41" s="40">
        <v>38251644</v>
      </c>
      <c r="J41" s="40"/>
      <c r="K41" s="40">
        <f>3135337+214973+247000</f>
        <v>3597310</v>
      </c>
      <c r="L41" s="40"/>
      <c r="M41" s="40">
        <f>78453+3622576+9182230+2711101-1261062+133397</f>
        <v>14466695</v>
      </c>
      <c r="N41" s="40"/>
      <c r="O41" s="40">
        <f>+M41+K41</f>
        <v>18064005</v>
      </c>
      <c r="P41" s="40"/>
      <c r="U41" s="96">
        <f t="shared" si="0"/>
        <v>0</v>
      </c>
    </row>
    <row r="42" spans="1:21" ht="12.75" hidden="1">
      <c r="A42" s="23" t="s">
        <v>168</v>
      </c>
      <c r="B42" s="2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>
        <f t="shared" si="2"/>
        <v>0</v>
      </c>
      <c r="P42" s="40"/>
      <c r="U42" s="96">
        <f aca="true" t="shared" si="3" ref="U42:U73">+E42-I42-O42</f>
        <v>0</v>
      </c>
    </row>
    <row r="43" spans="1:21" ht="12.75" hidden="1">
      <c r="A43" s="23" t="s">
        <v>39</v>
      </c>
      <c r="B43" s="2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>
        <f t="shared" si="2"/>
        <v>0</v>
      </c>
      <c r="P43" s="40"/>
      <c r="U43" s="96">
        <f t="shared" si="3"/>
        <v>0</v>
      </c>
    </row>
    <row r="44" spans="1:21" ht="12.75">
      <c r="A44" s="23" t="s">
        <v>40</v>
      </c>
      <c r="B44" s="23"/>
      <c r="C44" s="40">
        <f>13195084+25073</f>
        <v>13220157</v>
      </c>
      <c r="D44" s="40"/>
      <c r="E44" s="40">
        <v>26224931</v>
      </c>
      <c r="F44" s="40"/>
      <c r="G44" s="40">
        <v>4524580</v>
      </c>
      <c r="H44" s="40"/>
      <c r="I44" s="40">
        <v>10990340</v>
      </c>
      <c r="J44" s="40"/>
      <c r="K44" s="40">
        <f>142085+156554+173786+997789+1271</f>
        <v>1471485</v>
      </c>
      <c r="L44" s="40"/>
      <c r="M44" s="40">
        <f>4452166+8673976+232405+404559</f>
        <v>13763106</v>
      </c>
      <c r="N44" s="40"/>
      <c r="O44" s="40">
        <f t="shared" si="2"/>
        <v>15234591</v>
      </c>
      <c r="P44" s="40"/>
      <c r="U44" s="96">
        <f t="shared" si="3"/>
        <v>0</v>
      </c>
    </row>
    <row r="45" spans="1:21" ht="12.75" hidden="1">
      <c r="A45" s="23" t="s">
        <v>41</v>
      </c>
      <c r="B45" s="23"/>
      <c r="C45" s="40">
        <v>0</v>
      </c>
      <c r="D45" s="40"/>
      <c r="E45" s="40">
        <v>0</v>
      </c>
      <c r="F45" s="40"/>
      <c r="G45" s="40">
        <v>0</v>
      </c>
      <c r="H45" s="40"/>
      <c r="I45" s="40">
        <v>0</v>
      </c>
      <c r="J45" s="40"/>
      <c r="K45" s="40">
        <v>0</v>
      </c>
      <c r="L45" s="40"/>
      <c r="M45" s="40">
        <v>0</v>
      </c>
      <c r="N45" s="40"/>
      <c r="O45" s="40">
        <f t="shared" si="2"/>
        <v>0</v>
      </c>
      <c r="P45" s="40"/>
      <c r="U45" s="96">
        <f t="shared" si="3"/>
        <v>0</v>
      </c>
    </row>
    <row r="46" spans="1:21" ht="12.75">
      <c r="A46" s="23" t="s">
        <v>42</v>
      </c>
      <c r="B46" s="23"/>
      <c r="C46" s="40">
        <f>10450117+74872</f>
        <v>10524989</v>
      </c>
      <c r="D46" s="40"/>
      <c r="E46" s="40">
        <v>20281131</v>
      </c>
      <c r="F46" s="40"/>
      <c r="G46" s="40">
        <v>7235218</v>
      </c>
      <c r="H46" s="40"/>
      <c r="I46" s="40">
        <v>8332042</v>
      </c>
      <c r="J46" s="40"/>
      <c r="K46" s="40">
        <f>370754</f>
        <v>370754</v>
      </c>
      <c r="L46" s="40"/>
      <c r="M46" s="40">
        <f>2625414+8171483+104640+676798</f>
        <v>11578335</v>
      </c>
      <c r="N46" s="40"/>
      <c r="O46" s="40">
        <f t="shared" si="2"/>
        <v>11949089</v>
      </c>
      <c r="P46" s="40"/>
      <c r="U46" s="96">
        <f t="shared" si="3"/>
        <v>0</v>
      </c>
    </row>
    <row r="47" spans="1:21" ht="12.75">
      <c r="A47" s="23" t="s">
        <v>43</v>
      </c>
      <c r="B47" s="23"/>
      <c r="C47" s="40">
        <f>8871318+13189</f>
        <v>8884507</v>
      </c>
      <c r="D47" s="40"/>
      <c r="E47" s="40">
        <v>19946367</v>
      </c>
      <c r="F47" s="40"/>
      <c r="G47" s="40">
        <v>2364723</v>
      </c>
      <c r="H47" s="40"/>
      <c r="I47" s="40">
        <v>10662918</v>
      </c>
      <c r="J47" s="40"/>
      <c r="K47" s="40">
        <f>75348+70457+410815+55000+185045</f>
        <v>796665</v>
      </c>
      <c r="L47" s="40"/>
      <c r="M47" s="40">
        <f>250000+946017+6697336+593431</f>
        <v>8486784</v>
      </c>
      <c r="N47" s="40"/>
      <c r="O47" s="40">
        <f t="shared" si="2"/>
        <v>9283449</v>
      </c>
      <c r="P47" s="40"/>
      <c r="U47" s="96">
        <f t="shared" si="3"/>
        <v>0</v>
      </c>
    </row>
    <row r="48" spans="1:21" ht="12.75">
      <c r="A48" s="23" t="s">
        <v>44</v>
      </c>
      <c r="B48" s="23"/>
      <c r="C48" s="40">
        <f>12438839+298273</f>
        <v>12737112</v>
      </c>
      <c r="D48" s="40"/>
      <c r="E48" s="40">
        <v>24061739</v>
      </c>
      <c r="F48" s="40"/>
      <c r="G48" s="40">
        <v>7772532</v>
      </c>
      <c r="H48" s="40"/>
      <c r="I48" s="40">
        <v>10073180</v>
      </c>
      <c r="J48" s="40"/>
      <c r="K48" s="40">
        <f>845245+261883+429675</f>
        <v>1536803</v>
      </c>
      <c r="L48" s="40"/>
      <c r="M48" s="40">
        <f>2825528+8911307+714921</f>
        <v>12451756</v>
      </c>
      <c r="N48" s="40"/>
      <c r="O48" s="40">
        <f t="shared" si="2"/>
        <v>13988559</v>
      </c>
      <c r="P48" s="40"/>
      <c r="U48" s="96">
        <f t="shared" si="3"/>
        <v>0</v>
      </c>
    </row>
    <row r="49" spans="1:21" ht="12.75" hidden="1">
      <c r="A49" s="23" t="s">
        <v>241</v>
      </c>
      <c r="B49" s="2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f t="shared" si="2"/>
        <v>0</v>
      </c>
      <c r="P49" s="40"/>
      <c r="U49" s="96">
        <f t="shared" si="3"/>
        <v>0</v>
      </c>
    </row>
    <row r="50" spans="1:21" ht="12.75">
      <c r="A50" s="23" t="s">
        <v>46</v>
      </c>
      <c r="B50" s="23"/>
      <c r="C50" s="40">
        <f>14906137+850346+25000+276257</f>
        <v>16057740</v>
      </c>
      <c r="D50" s="40"/>
      <c r="E50" s="40">
        <v>49275591</v>
      </c>
      <c r="F50" s="40"/>
      <c r="G50" s="40">
        <v>18956011</v>
      </c>
      <c r="H50" s="40"/>
      <c r="I50" s="40">
        <v>27683842</v>
      </c>
      <c r="J50" s="40"/>
      <c r="K50" s="40">
        <f>393806+986660+535748+56701</f>
        <v>1972915</v>
      </c>
      <c r="L50" s="40"/>
      <c r="M50" s="40">
        <f>52265+3514682+12426926+2800246+824715</f>
        <v>19618834</v>
      </c>
      <c r="N50" s="40"/>
      <c r="O50" s="40">
        <f t="shared" si="2"/>
        <v>21591749</v>
      </c>
      <c r="P50" s="40"/>
      <c r="U50" s="96">
        <f t="shared" si="3"/>
        <v>0</v>
      </c>
    </row>
    <row r="51" spans="1:21" ht="12.75">
      <c r="A51" s="23" t="s">
        <v>47</v>
      </c>
      <c r="B51" s="23"/>
      <c r="C51" s="40">
        <f>15539784+92230+2290342</f>
        <v>17922356</v>
      </c>
      <c r="D51" s="40"/>
      <c r="E51" s="40">
        <v>33412387</v>
      </c>
      <c r="F51" s="40"/>
      <c r="G51" s="40">
        <v>12390512</v>
      </c>
      <c r="H51" s="40"/>
      <c r="I51" s="40">
        <v>14732853</v>
      </c>
      <c r="J51" s="40"/>
      <c r="K51" s="40">
        <f>1909600+325692+659611+76193+54531+190000</f>
        <v>3215627</v>
      </c>
      <c r="L51" s="40"/>
      <c r="M51" s="40">
        <f>2089151+12763343+611413</f>
        <v>15463907</v>
      </c>
      <c r="N51" s="40"/>
      <c r="O51" s="40">
        <f t="shared" si="2"/>
        <v>18679534</v>
      </c>
      <c r="P51" s="40"/>
      <c r="U51" s="96">
        <f t="shared" si="3"/>
        <v>0</v>
      </c>
    </row>
    <row r="52" spans="1:21" ht="12.75">
      <c r="A52" s="23" t="s">
        <v>48</v>
      </c>
      <c r="B52" s="23"/>
      <c r="C52" s="40">
        <v>93336244</v>
      </c>
      <c r="D52" s="40"/>
      <c r="E52" s="40">
        <v>178751397</v>
      </c>
      <c r="F52" s="40"/>
      <c r="G52" s="40">
        <v>60884587</v>
      </c>
      <c r="H52" s="40"/>
      <c r="I52" s="40">
        <v>69513732</v>
      </c>
      <c r="J52" s="40"/>
      <c r="K52" s="40">
        <f>1789381+729145+283946+2005861+3567393+1200412</f>
        <v>9576138</v>
      </c>
      <c r="L52" s="40"/>
      <c r="M52" s="40">
        <f>248351+24144356+65130974+10137846</f>
        <v>99661527</v>
      </c>
      <c r="N52" s="40"/>
      <c r="O52" s="40">
        <f t="shared" si="2"/>
        <v>109237665</v>
      </c>
      <c r="P52" s="40"/>
      <c r="U52" s="96">
        <f t="shared" si="3"/>
        <v>0</v>
      </c>
    </row>
    <row r="53" spans="1:21" ht="12.75" hidden="1">
      <c r="A53" s="23" t="s">
        <v>170</v>
      </c>
      <c r="B53" s="23"/>
      <c r="C53" s="40">
        <v>0</v>
      </c>
      <c r="D53" s="40"/>
      <c r="E53" s="40">
        <v>0</v>
      </c>
      <c r="F53" s="40"/>
      <c r="G53" s="40">
        <v>0</v>
      </c>
      <c r="H53" s="40"/>
      <c r="I53" s="40">
        <v>0</v>
      </c>
      <c r="J53" s="40"/>
      <c r="K53" s="40">
        <v>0</v>
      </c>
      <c r="L53" s="40"/>
      <c r="M53" s="40">
        <v>0</v>
      </c>
      <c r="N53" s="40"/>
      <c r="O53" s="40">
        <f t="shared" si="2"/>
        <v>0</v>
      </c>
      <c r="P53" s="40"/>
      <c r="U53" s="96">
        <f t="shared" si="3"/>
        <v>0</v>
      </c>
    </row>
    <row r="54" spans="1:21" ht="12.75">
      <c r="A54" s="23" t="s">
        <v>49</v>
      </c>
      <c r="B54" s="23"/>
      <c r="C54" s="40">
        <f>37018723+107999+3003785</f>
        <v>40130507</v>
      </c>
      <c r="D54" s="40"/>
      <c r="E54" s="40">
        <v>80174761</v>
      </c>
      <c r="F54" s="40"/>
      <c r="G54" s="40">
        <v>28941982</v>
      </c>
      <c r="H54" s="40"/>
      <c r="I54" s="40">
        <v>36276329</v>
      </c>
      <c r="J54" s="40"/>
      <c r="K54" s="40">
        <f>2362810+165222+276121+3765534+3056590</f>
        <v>9626277</v>
      </c>
      <c r="L54" s="40"/>
      <c r="M54" s="40">
        <f>14959807+19361035-48687</f>
        <v>34272155</v>
      </c>
      <c r="N54" s="40"/>
      <c r="O54" s="40">
        <f t="shared" si="2"/>
        <v>43898432</v>
      </c>
      <c r="P54" s="40"/>
      <c r="U54" s="96">
        <f t="shared" si="3"/>
        <v>0</v>
      </c>
    </row>
    <row r="55" spans="1:21" ht="12.75">
      <c r="A55" s="23" t="s">
        <v>50</v>
      </c>
      <c r="B55" s="23"/>
      <c r="C55" s="40">
        <v>17089789</v>
      </c>
      <c r="D55" s="40"/>
      <c r="E55" s="40">
        <v>32094498</v>
      </c>
      <c r="F55" s="40"/>
      <c r="G55" s="40">
        <v>12287905</v>
      </c>
      <c r="H55" s="40"/>
      <c r="I55" s="40">
        <v>14310822</v>
      </c>
      <c r="J55" s="40"/>
      <c r="K55" s="40">
        <f>783134+615186+93649</f>
        <v>1491969</v>
      </c>
      <c r="L55" s="40"/>
      <c r="M55" s="40">
        <f>2036771+14086051+168885</f>
        <v>16291707</v>
      </c>
      <c r="N55" s="40"/>
      <c r="O55" s="40">
        <f t="shared" si="2"/>
        <v>17783676</v>
      </c>
      <c r="P55" s="40"/>
      <c r="U55" s="96">
        <f t="shared" si="3"/>
        <v>0</v>
      </c>
    </row>
    <row r="56" spans="1:21" ht="12.75">
      <c r="A56" s="23" t="s">
        <v>246</v>
      </c>
      <c r="B56" s="23"/>
      <c r="C56" s="40">
        <f>107695824+268159+376385</f>
        <v>108340368</v>
      </c>
      <c r="D56" s="40"/>
      <c r="E56" s="40">
        <v>226781983</v>
      </c>
      <c r="F56" s="40"/>
      <c r="G56" s="40">
        <v>76379786</v>
      </c>
      <c r="H56" s="40"/>
      <c r="I56" s="40">
        <v>116033252</v>
      </c>
      <c r="J56" s="40"/>
      <c r="K56" s="40">
        <f>5916791+1203483+15019778+876646+3820357</f>
        <v>26837055</v>
      </c>
      <c r="L56" s="40"/>
      <c r="M56" s="40">
        <f>18383293+78467620-4661610-8277627</f>
        <v>83911676</v>
      </c>
      <c r="N56" s="40"/>
      <c r="O56" s="40">
        <f t="shared" si="2"/>
        <v>110748731</v>
      </c>
      <c r="P56" s="40"/>
      <c r="U56" s="96">
        <f t="shared" si="3"/>
        <v>0</v>
      </c>
    </row>
    <row r="57" spans="1:21" ht="12.75">
      <c r="A57" s="23" t="s">
        <v>183</v>
      </c>
      <c r="B57" s="23"/>
      <c r="C57" s="40">
        <f>158431934+738717</f>
        <v>159170651</v>
      </c>
      <c r="D57" s="40"/>
      <c r="E57" s="40">
        <v>370080078</v>
      </c>
      <c r="F57" s="40"/>
      <c r="G57" s="40">
        <v>33599114</v>
      </c>
      <c r="H57" s="40"/>
      <c r="I57" s="40">
        <v>217739356</v>
      </c>
      <c r="J57" s="40"/>
      <c r="K57" s="40">
        <f>33089605+20140+5761562+491654</f>
        <v>39362961</v>
      </c>
      <c r="L57" s="40"/>
      <c r="M57" s="40">
        <f>42984436+80205561-10212236</f>
        <v>112977761</v>
      </c>
      <c r="N57" s="40"/>
      <c r="O57" s="40">
        <f t="shared" si="2"/>
        <v>152340722</v>
      </c>
      <c r="P57" s="40"/>
      <c r="U57" s="96">
        <f t="shared" si="3"/>
        <v>0</v>
      </c>
    </row>
    <row r="58" spans="1:21" ht="12.75" hidden="1">
      <c r="A58" s="23" t="s">
        <v>52</v>
      </c>
      <c r="B58" s="23"/>
      <c r="C58" s="40">
        <v>0</v>
      </c>
      <c r="D58" s="40"/>
      <c r="E58" s="40">
        <v>0</v>
      </c>
      <c r="F58" s="40"/>
      <c r="G58" s="40">
        <v>0</v>
      </c>
      <c r="H58" s="40"/>
      <c r="I58" s="40">
        <v>0</v>
      </c>
      <c r="J58" s="40"/>
      <c r="K58" s="40">
        <v>0</v>
      </c>
      <c r="L58" s="40"/>
      <c r="M58" s="40">
        <v>0</v>
      </c>
      <c r="N58" s="40"/>
      <c r="O58" s="40">
        <f>+M58+K58</f>
        <v>0</v>
      </c>
      <c r="P58" s="40"/>
      <c r="U58" s="96">
        <f t="shared" si="3"/>
        <v>0</v>
      </c>
    </row>
    <row r="59" spans="1:21" ht="12.75">
      <c r="A59" s="23" t="s">
        <v>53</v>
      </c>
      <c r="B59" s="23"/>
      <c r="C59" s="40">
        <f>73388537+506233+3436200</f>
        <v>77330970</v>
      </c>
      <c r="D59" s="40"/>
      <c r="E59" s="40">
        <v>137587214</v>
      </c>
      <c r="F59" s="40"/>
      <c r="G59" s="40">
        <v>49114503</v>
      </c>
      <c r="H59" s="40"/>
      <c r="I59" s="40">
        <v>73983231</v>
      </c>
      <c r="J59" s="40"/>
      <c r="K59" s="40">
        <f>11123669+113615+1405511</f>
        <v>12642795</v>
      </c>
      <c r="L59" s="40"/>
      <c r="M59" s="40">
        <f>9975367+35618577-3241764+8609008</f>
        <v>50961188</v>
      </c>
      <c r="N59" s="40"/>
      <c r="O59" s="40">
        <f t="shared" si="2"/>
        <v>63603983</v>
      </c>
      <c r="P59" s="40"/>
      <c r="U59" s="96">
        <f t="shared" si="3"/>
        <v>0</v>
      </c>
    </row>
    <row r="60" spans="1:21" ht="12.75">
      <c r="A60" s="23" t="s">
        <v>54</v>
      </c>
      <c r="B60" s="23"/>
      <c r="C60" s="40">
        <f>26070395+37344+151058</f>
        <v>26258797</v>
      </c>
      <c r="D60" s="40"/>
      <c r="E60" s="40">
        <v>42567494</v>
      </c>
      <c r="F60" s="40"/>
      <c r="G60" s="40">
        <v>13102568</v>
      </c>
      <c r="H60" s="40"/>
      <c r="I60" s="40">
        <v>16661658</v>
      </c>
      <c r="J60" s="40"/>
      <c r="K60" s="40">
        <f>1336385+763342+88383</f>
        <v>2188110</v>
      </c>
      <c r="L60" s="40"/>
      <c r="M60" s="40">
        <f>6772252+15068360+901531+975583</f>
        <v>23717726</v>
      </c>
      <c r="N60" s="40"/>
      <c r="O60" s="40">
        <f t="shared" si="2"/>
        <v>25905836</v>
      </c>
      <c r="P60" s="40"/>
      <c r="U60" s="96">
        <f t="shared" si="3"/>
        <v>0</v>
      </c>
    </row>
    <row r="61" spans="1:21" ht="12.75">
      <c r="A61" s="23" t="s">
        <v>55</v>
      </c>
      <c r="B61" s="23"/>
      <c r="C61" s="40">
        <f>46767761+2374+2562036</f>
        <v>49332171</v>
      </c>
      <c r="D61" s="40"/>
      <c r="E61" s="40">
        <v>87523114</v>
      </c>
      <c r="F61" s="40"/>
      <c r="G61" s="40">
        <v>31248577</v>
      </c>
      <c r="H61" s="40"/>
      <c r="I61" s="40">
        <v>38699071</v>
      </c>
      <c r="J61" s="40"/>
      <c r="K61" s="40">
        <v>2308394</v>
      </c>
      <c r="L61" s="40"/>
      <c r="M61" s="40">
        <f>12300579+32806533+515801+892736</f>
        <v>46515649</v>
      </c>
      <c r="N61" s="40"/>
      <c r="O61" s="40">
        <f t="shared" si="2"/>
        <v>48824043</v>
      </c>
      <c r="P61" s="40"/>
      <c r="U61" s="96">
        <f t="shared" si="3"/>
        <v>0</v>
      </c>
    </row>
    <row r="62" spans="1:21" ht="12.75" hidden="1">
      <c r="A62" s="23" t="s">
        <v>171</v>
      </c>
      <c r="B62" s="23"/>
      <c r="C62" s="40">
        <v>0</v>
      </c>
      <c r="D62" s="40"/>
      <c r="E62" s="40">
        <v>0</v>
      </c>
      <c r="F62" s="40"/>
      <c r="G62" s="40">
        <v>0</v>
      </c>
      <c r="H62" s="40"/>
      <c r="I62" s="40">
        <v>0</v>
      </c>
      <c r="J62" s="40"/>
      <c r="K62" s="40">
        <v>0</v>
      </c>
      <c r="L62" s="40"/>
      <c r="M62" s="40">
        <v>0</v>
      </c>
      <c r="N62" s="40"/>
      <c r="O62" s="40">
        <f t="shared" si="2"/>
        <v>0</v>
      </c>
      <c r="P62" s="40"/>
      <c r="U62" s="96">
        <f t="shared" si="3"/>
        <v>0</v>
      </c>
    </row>
    <row r="63" spans="1:21" ht="12.75" hidden="1">
      <c r="A63" s="23" t="s">
        <v>56</v>
      </c>
      <c r="B63" s="2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>
        <f t="shared" si="2"/>
        <v>0</v>
      </c>
      <c r="P63" s="40"/>
      <c r="U63" s="96">
        <f t="shared" si="3"/>
        <v>0</v>
      </c>
    </row>
    <row r="64" spans="1:21" ht="12.75">
      <c r="A64" s="23" t="s">
        <v>57</v>
      </c>
      <c r="B64" s="23"/>
      <c r="C64" s="40">
        <f>21795398+529328+20609875</f>
        <v>42934601</v>
      </c>
      <c r="D64" s="40"/>
      <c r="E64" s="40">
        <v>72194748</v>
      </c>
      <c r="F64" s="40"/>
      <c r="G64" s="40">
        <v>22535296</v>
      </c>
      <c r="H64" s="40"/>
      <c r="I64" s="40">
        <v>25883124</v>
      </c>
      <c r="J64" s="40"/>
      <c r="K64" s="40">
        <f>2567651+174949+206820+122561+700109+55468</f>
        <v>3827558</v>
      </c>
      <c r="L64" s="40"/>
      <c r="M64" s="40">
        <f>16022522+22667534+3794010</f>
        <v>42484066</v>
      </c>
      <c r="N64" s="40"/>
      <c r="O64" s="40">
        <f>+M64+K64</f>
        <v>46311624</v>
      </c>
      <c r="P64" s="40"/>
      <c r="U64" s="96">
        <f t="shared" si="3"/>
        <v>0</v>
      </c>
    </row>
    <row r="65" spans="1:21" ht="12.75">
      <c r="A65" s="23" t="s">
        <v>58</v>
      </c>
      <c r="B65" s="23"/>
      <c r="C65" s="40">
        <f>5202212+297117</f>
        <v>5499329</v>
      </c>
      <c r="D65" s="40"/>
      <c r="E65" s="40">
        <v>10704505</v>
      </c>
      <c r="F65" s="40"/>
      <c r="G65" s="40">
        <v>3642799</v>
      </c>
      <c r="H65" s="40"/>
      <c r="I65" s="40">
        <v>5294340</v>
      </c>
      <c r="J65" s="40"/>
      <c r="K65" s="40">
        <f>164785+106431+197024</f>
        <v>468240</v>
      </c>
      <c r="L65" s="40"/>
      <c r="M65" s="40">
        <f>147678+4667958+126289</f>
        <v>4941925</v>
      </c>
      <c r="N65" s="40"/>
      <c r="O65" s="40">
        <f t="shared" si="2"/>
        <v>5410165</v>
      </c>
      <c r="P65" s="40"/>
      <c r="U65" s="96">
        <f t="shared" si="3"/>
        <v>0</v>
      </c>
    </row>
    <row r="66" spans="1:21" ht="12.75">
      <c r="A66" s="23" t="s">
        <v>59</v>
      </c>
      <c r="B66" s="23"/>
      <c r="C66" s="40">
        <f>252405647+60842</f>
        <v>252466489</v>
      </c>
      <c r="D66" s="40"/>
      <c r="E66" s="40">
        <v>512881878</v>
      </c>
      <c r="F66" s="40"/>
      <c r="G66" s="40">
        <v>199948415</v>
      </c>
      <c r="H66" s="40"/>
      <c r="I66" s="40">
        <v>243948848</v>
      </c>
      <c r="J66" s="40"/>
      <c r="K66" s="40">
        <f>69902385+6298539+1086001</f>
        <v>77286925</v>
      </c>
      <c r="L66" s="40"/>
      <c r="M66" s="40">
        <f>46602497+109426455+35617153</f>
        <v>191646105</v>
      </c>
      <c r="N66" s="40"/>
      <c r="O66" s="40">
        <f t="shared" si="2"/>
        <v>268933030</v>
      </c>
      <c r="P66" s="40"/>
      <c r="U66" s="96">
        <f t="shared" si="3"/>
        <v>0</v>
      </c>
    </row>
    <row r="67" spans="1:21" ht="12.75" hidden="1">
      <c r="A67" s="23" t="s">
        <v>60</v>
      </c>
      <c r="B67" s="2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>
        <f t="shared" si="2"/>
        <v>0</v>
      </c>
      <c r="P67" s="40"/>
      <c r="U67" s="96">
        <f t="shared" si="3"/>
        <v>0</v>
      </c>
    </row>
    <row r="68" spans="1:21" ht="12.75">
      <c r="A68" s="23" t="s">
        <v>97</v>
      </c>
      <c r="B68" s="23"/>
      <c r="C68" s="40">
        <v>8948563</v>
      </c>
      <c r="D68" s="40"/>
      <c r="E68" s="40">
        <v>20102102</v>
      </c>
      <c r="F68" s="40"/>
      <c r="G68" s="40">
        <v>2818626</v>
      </c>
      <c r="H68" s="40"/>
      <c r="I68" s="40">
        <v>8558115</v>
      </c>
      <c r="J68" s="40"/>
      <c r="K68" s="40">
        <f>1415320+86834+961843+233325+914285</f>
        <v>3611607</v>
      </c>
      <c r="L68" s="40"/>
      <c r="M68" s="40">
        <f>1131840+5803292+997248</f>
        <v>7932380</v>
      </c>
      <c r="N68" s="40"/>
      <c r="O68" s="40">
        <f t="shared" si="2"/>
        <v>11543987</v>
      </c>
      <c r="P68" s="40"/>
      <c r="U68" s="96">
        <f t="shared" si="3"/>
        <v>0</v>
      </c>
    </row>
    <row r="69" spans="1:21" ht="12.75">
      <c r="A69" s="23" t="s">
        <v>61</v>
      </c>
      <c r="B69" s="23"/>
      <c r="C69" s="40">
        <f>35488135+1541311+2323921</f>
        <v>39353367</v>
      </c>
      <c r="D69" s="40"/>
      <c r="E69" s="40">
        <v>70098899</v>
      </c>
      <c r="F69" s="40"/>
      <c r="G69" s="40">
        <v>26279628</v>
      </c>
      <c r="H69" s="40"/>
      <c r="I69" s="40">
        <v>33569151</v>
      </c>
      <c r="J69" s="40"/>
      <c r="K69" s="40">
        <v>2925137</v>
      </c>
      <c r="L69" s="40"/>
      <c r="M69" s="40">
        <f>11093699+20100611+362253+2048048</f>
        <v>33604611</v>
      </c>
      <c r="N69" s="40"/>
      <c r="O69" s="40">
        <f t="shared" si="2"/>
        <v>36529748</v>
      </c>
      <c r="P69" s="40"/>
      <c r="U69" s="96">
        <f t="shared" si="3"/>
        <v>0</v>
      </c>
    </row>
    <row r="70" spans="1:21" ht="12.75">
      <c r="A70" s="23" t="s">
        <v>62</v>
      </c>
      <c r="B70" s="23"/>
      <c r="C70" s="40">
        <f>4731150+868+273208</f>
        <v>5005226</v>
      </c>
      <c r="D70" s="40"/>
      <c r="E70" s="40">
        <v>9752047</v>
      </c>
      <c r="F70" s="40"/>
      <c r="G70" s="40">
        <v>3396749</v>
      </c>
      <c r="H70" s="40"/>
      <c r="I70" s="40">
        <v>4444872</v>
      </c>
      <c r="J70" s="40"/>
      <c r="K70" s="40">
        <f>514169+6121+27880</f>
        <v>548170</v>
      </c>
      <c r="L70" s="40"/>
      <c r="M70" s="40">
        <f>944254+3873169+279235-337653</f>
        <v>4759005</v>
      </c>
      <c r="N70" s="40"/>
      <c r="O70" s="40">
        <f t="shared" si="2"/>
        <v>5307175</v>
      </c>
      <c r="P70" s="40"/>
      <c r="U70" s="96">
        <f t="shared" si="3"/>
        <v>0</v>
      </c>
    </row>
    <row r="71" spans="1:21" ht="12.75">
      <c r="A71" s="23" t="s">
        <v>63</v>
      </c>
      <c r="B71" s="23"/>
      <c r="C71" s="40">
        <f>18146911+57544</f>
        <v>18204455</v>
      </c>
      <c r="D71" s="40"/>
      <c r="E71" s="40">
        <v>56566805</v>
      </c>
      <c r="F71" s="40"/>
      <c r="G71" s="40">
        <v>23857832</v>
      </c>
      <c r="H71" s="40"/>
      <c r="I71" s="40">
        <v>35967808</v>
      </c>
      <c r="J71" s="40"/>
      <c r="K71" s="40">
        <f>2691540+80205+929640</f>
        <v>3701385</v>
      </c>
      <c r="L71" s="40"/>
      <c r="M71" s="40">
        <f>3275715+11478045+1757241+386611</f>
        <v>16897612</v>
      </c>
      <c r="N71" s="40"/>
      <c r="O71" s="40">
        <f t="shared" si="2"/>
        <v>20598997</v>
      </c>
      <c r="P71" s="40"/>
      <c r="U71" s="96">
        <f t="shared" si="3"/>
        <v>0</v>
      </c>
    </row>
    <row r="72" spans="1:21" ht="12.75" hidden="1">
      <c r="A72" s="23" t="s">
        <v>132</v>
      </c>
      <c r="B72" s="2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f t="shared" si="2"/>
        <v>0</v>
      </c>
      <c r="P72" s="40"/>
      <c r="U72" s="96">
        <f t="shared" si="3"/>
        <v>0</v>
      </c>
    </row>
    <row r="73" spans="1:21" ht="12.75" hidden="1">
      <c r="A73" s="23" t="s">
        <v>64</v>
      </c>
      <c r="B73" s="2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>
        <f t="shared" si="2"/>
        <v>0</v>
      </c>
      <c r="P73" s="40"/>
      <c r="Q73" s="26"/>
      <c r="U73" s="96">
        <f t="shared" si="3"/>
        <v>0</v>
      </c>
    </row>
    <row r="74" spans="1:21" ht="12.75">
      <c r="A74" s="23"/>
      <c r="B74" s="2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26"/>
      <c r="U74" s="96"/>
    </row>
    <row r="75" spans="1:21" ht="12.75">
      <c r="A75" s="23"/>
      <c r="B75" s="2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 t="s">
        <v>253</v>
      </c>
      <c r="P75" s="40"/>
      <c r="Q75" s="26"/>
      <c r="U75" s="96"/>
    </row>
    <row r="76" spans="1:21" ht="12.75">
      <c r="A76" s="23" t="s">
        <v>65</v>
      </c>
      <c r="B76" s="23"/>
      <c r="C76" s="61">
        <f>13711562+179034</f>
        <v>13890596</v>
      </c>
      <c r="D76" s="61"/>
      <c r="E76" s="61">
        <v>25408464</v>
      </c>
      <c r="F76" s="61"/>
      <c r="G76" s="61">
        <v>8226658</v>
      </c>
      <c r="H76" s="61"/>
      <c r="I76" s="61">
        <v>10311401</v>
      </c>
      <c r="J76" s="61"/>
      <c r="K76" s="61">
        <f>48800+98362+255071</f>
        <v>402233</v>
      </c>
      <c r="L76" s="61"/>
      <c r="M76" s="61">
        <f>3197381+9184710+2312739</f>
        <v>14694830</v>
      </c>
      <c r="N76" s="61"/>
      <c r="O76" s="61">
        <f t="shared" si="2"/>
        <v>15097063</v>
      </c>
      <c r="P76" s="40"/>
      <c r="Q76" s="26"/>
      <c r="U76" s="96">
        <f aca="true" t="shared" si="4" ref="U76:U100">+E76-I76-O76</f>
        <v>0</v>
      </c>
    </row>
    <row r="77" spans="1:21" ht="12.75">
      <c r="A77" s="23" t="s">
        <v>66</v>
      </c>
      <c r="B77" s="23"/>
      <c r="C77" s="40">
        <f>12873746+41155</f>
        <v>12914901</v>
      </c>
      <c r="D77" s="40"/>
      <c r="E77" s="40">
        <v>23696076</v>
      </c>
      <c r="F77" s="40"/>
      <c r="G77" s="40">
        <v>6482665</v>
      </c>
      <c r="H77" s="40"/>
      <c r="I77" s="40">
        <v>9620262</v>
      </c>
      <c r="J77" s="40"/>
      <c r="K77" s="40">
        <f>996435+1338060</f>
        <v>2334495</v>
      </c>
      <c r="L77" s="40"/>
      <c r="M77" s="40">
        <f>4024202+7960965-243848</f>
        <v>11741319</v>
      </c>
      <c r="N77" s="40"/>
      <c r="O77" s="40">
        <f t="shared" si="2"/>
        <v>14075814</v>
      </c>
      <c r="P77" s="40"/>
      <c r="Q77" s="26"/>
      <c r="U77" s="96">
        <f t="shared" si="4"/>
        <v>0</v>
      </c>
    </row>
    <row r="78" spans="1:21" ht="12.75">
      <c r="A78" s="23" t="s">
        <v>67</v>
      </c>
      <c r="B78" s="23"/>
      <c r="C78" s="40">
        <f>54758365+1033500+5743584</f>
        <v>61535449</v>
      </c>
      <c r="D78" s="40"/>
      <c r="E78" s="40">
        <v>124771464</v>
      </c>
      <c r="F78" s="40"/>
      <c r="G78" s="40">
        <v>43911861</v>
      </c>
      <c r="H78" s="40"/>
      <c r="I78" s="40">
        <v>57606053</v>
      </c>
      <c r="J78" s="40"/>
      <c r="K78" s="40">
        <f>6820417+419000+4866810+564077</f>
        <v>12670304</v>
      </c>
      <c r="L78" s="40"/>
      <c r="M78" s="40">
        <f>15602547+39425998+591869-1125307</f>
        <v>54495107</v>
      </c>
      <c r="N78" s="40"/>
      <c r="O78" s="40">
        <f t="shared" si="2"/>
        <v>67165411</v>
      </c>
      <c r="P78" s="40"/>
      <c r="Q78" s="26"/>
      <c r="U78" s="96">
        <f t="shared" si="4"/>
        <v>0</v>
      </c>
    </row>
    <row r="79" spans="1:21" ht="12.75">
      <c r="A79" s="23" t="s">
        <v>68</v>
      </c>
      <c r="B79" s="23"/>
      <c r="C79" s="40">
        <f>7783354+209289+666604</f>
        <v>8659247</v>
      </c>
      <c r="D79" s="40"/>
      <c r="E79" s="40">
        <v>19602428</v>
      </c>
      <c r="F79" s="40"/>
      <c r="G79" s="40">
        <v>8291232</v>
      </c>
      <c r="H79" s="40"/>
      <c r="I79" s="40">
        <v>10504793</v>
      </c>
      <c r="J79" s="40"/>
      <c r="K79" s="40">
        <v>522312</v>
      </c>
      <c r="L79" s="40"/>
      <c r="M79" s="40">
        <f>2035389+6107999+365488+66447</f>
        <v>8575323</v>
      </c>
      <c r="N79" s="40"/>
      <c r="O79" s="40">
        <f t="shared" si="2"/>
        <v>9097635</v>
      </c>
      <c r="P79" s="40"/>
      <c r="Q79" s="26"/>
      <c r="U79" s="96">
        <f t="shared" si="4"/>
        <v>0</v>
      </c>
    </row>
    <row r="80" spans="1:21" ht="12.75" hidden="1">
      <c r="A80" s="23" t="s">
        <v>176</v>
      </c>
      <c r="B80" s="23"/>
      <c r="C80" s="40">
        <v>0</v>
      </c>
      <c r="D80" s="40"/>
      <c r="E80" s="40">
        <v>0</v>
      </c>
      <c r="F80" s="40"/>
      <c r="G80" s="40">
        <v>0</v>
      </c>
      <c r="H80" s="40"/>
      <c r="I80" s="40">
        <v>0</v>
      </c>
      <c r="J80" s="40"/>
      <c r="K80" s="40">
        <v>0</v>
      </c>
      <c r="L80" s="40"/>
      <c r="M80" s="40">
        <v>0</v>
      </c>
      <c r="N80" s="40"/>
      <c r="O80" s="40">
        <f t="shared" si="2"/>
        <v>0</v>
      </c>
      <c r="P80" s="40"/>
      <c r="Q80" s="26"/>
      <c r="U80" s="96">
        <f t="shared" si="4"/>
        <v>0</v>
      </c>
    </row>
    <row r="81" spans="1:21" ht="12.75">
      <c r="A81" s="23" t="s">
        <v>178</v>
      </c>
      <c r="B81" s="23"/>
      <c r="C81" s="40">
        <f>44722739+21309+7094881</f>
        <v>51838929</v>
      </c>
      <c r="D81" s="40"/>
      <c r="E81" s="40">
        <v>99840757</v>
      </c>
      <c r="F81" s="40"/>
      <c r="G81" s="40">
        <v>43178422</v>
      </c>
      <c r="H81" s="40"/>
      <c r="I81" s="40">
        <v>70477034</v>
      </c>
      <c r="J81" s="40"/>
      <c r="K81" s="40">
        <f>501466+282828+691510+100314</f>
        <v>1576118</v>
      </c>
      <c r="L81" s="40"/>
      <c r="M81" s="40">
        <f>1699843+38977511+137569-13027318</f>
        <v>27787605</v>
      </c>
      <c r="N81" s="40"/>
      <c r="O81" s="40">
        <f t="shared" si="2"/>
        <v>29363723</v>
      </c>
      <c r="P81" s="40"/>
      <c r="Q81" s="26"/>
      <c r="U81" s="96">
        <f t="shared" si="4"/>
        <v>0</v>
      </c>
    </row>
    <row r="82" spans="1:21" ht="12.75">
      <c r="A82" s="23" t="s">
        <v>69</v>
      </c>
      <c r="B82" s="23"/>
      <c r="C82" s="40">
        <f>8542445+384905+27051</f>
        <v>8954401</v>
      </c>
      <c r="D82" s="40"/>
      <c r="E82" s="40">
        <v>26725813</v>
      </c>
      <c r="F82" s="40"/>
      <c r="G82" s="40">
        <v>4456927</v>
      </c>
      <c r="H82" s="40"/>
      <c r="I82" s="40">
        <v>17812503</v>
      </c>
      <c r="J82" s="40"/>
      <c r="K82" s="40">
        <f>687903+128831+13488</f>
        <v>830222</v>
      </c>
      <c r="L82" s="40"/>
      <c r="M82" s="40">
        <f>3340163+4701115+414775-372965</f>
        <v>8083088</v>
      </c>
      <c r="N82" s="40"/>
      <c r="O82" s="40">
        <f t="shared" si="2"/>
        <v>8913310</v>
      </c>
      <c r="P82" s="40"/>
      <c r="Q82" s="26"/>
      <c r="U82" s="96">
        <f t="shared" si="4"/>
        <v>0</v>
      </c>
    </row>
    <row r="83" spans="1:21" ht="12.75">
      <c r="A83" s="23" t="s">
        <v>98</v>
      </c>
      <c r="B83" s="23"/>
      <c r="C83" s="40">
        <v>23893909</v>
      </c>
      <c r="D83" s="40"/>
      <c r="E83" s="40">
        <v>41497744</v>
      </c>
      <c r="F83" s="40"/>
      <c r="G83" s="40">
        <v>5469952</v>
      </c>
      <c r="H83" s="40"/>
      <c r="I83" s="40">
        <v>16571532</v>
      </c>
      <c r="J83" s="40"/>
      <c r="K83" s="40">
        <f>1390218+95867+428926+136333</f>
        <v>2051344</v>
      </c>
      <c r="L83" s="40"/>
      <c r="M83" s="40">
        <f>4692730+14496887+850389+2834862</f>
        <v>22874868</v>
      </c>
      <c r="N83" s="40"/>
      <c r="O83" s="40">
        <f t="shared" si="2"/>
        <v>24926212</v>
      </c>
      <c r="P83" s="40"/>
      <c r="Q83" s="26"/>
      <c r="U83" s="96">
        <f t="shared" si="4"/>
        <v>0</v>
      </c>
    </row>
    <row r="84" spans="1:21" ht="12.75">
      <c r="A84" s="23" t="s">
        <v>70</v>
      </c>
      <c r="B84" s="23"/>
      <c r="C84" s="40">
        <f>13044035+65487+270797</f>
        <v>13380319</v>
      </c>
      <c r="D84" s="40"/>
      <c r="E84" s="40">
        <v>31211994</v>
      </c>
      <c r="F84" s="40"/>
      <c r="G84" s="40">
        <v>10706080</v>
      </c>
      <c r="H84" s="40"/>
      <c r="I84" s="40">
        <v>18377099</v>
      </c>
      <c r="J84" s="40"/>
      <c r="K84" s="40">
        <f>833890+284070+579617+8607</f>
        <v>1706184</v>
      </c>
      <c r="L84" s="40"/>
      <c r="M84" s="40">
        <f>+-1774530+11922000+505887+475354</f>
        <v>11128711</v>
      </c>
      <c r="N84" s="40"/>
      <c r="O84" s="40">
        <f t="shared" si="2"/>
        <v>12834895</v>
      </c>
      <c r="P84" s="40"/>
      <c r="Q84" s="26"/>
      <c r="U84" s="96">
        <f t="shared" si="4"/>
        <v>0</v>
      </c>
    </row>
    <row r="85" spans="1:21" ht="12.75">
      <c r="A85" s="23" t="s">
        <v>71</v>
      </c>
      <c r="B85" s="23"/>
      <c r="C85" s="40">
        <v>18185180</v>
      </c>
      <c r="D85" s="40"/>
      <c r="E85" s="40">
        <v>33367292</v>
      </c>
      <c r="F85" s="40"/>
      <c r="G85" s="40">
        <v>10291335</v>
      </c>
      <c r="H85" s="40"/>
      <c r="I85" s="40">
        <v>13368156</v>
      </c>
      <c r="J85" s="40"/>
      <c r="K85" s="40">
        <f>2228401+95469</f>
        <v>2323870</v>
      </c>
      <c r="L85" s="40"/>
      <c r="M85" s="40">
        <f>3966742+13555182+30910+122432</f>
        <v>17675266</v>
      </c>
      <c r="N85" s="40"/>
      <c r="O85" s="40">
        <f t="shared" si="2"/>
        <v>19999136</v>
      </c>
      <c r="P85" s="40"/>
      <c r="Q85" s="26"/>
      <c r="U85" s="96">
        <f t="shared" si="4"/>
        <v>0</v>
      </c>
    </row>
    <row r="86" spans="1:21" ht="12.75">
      <c r="A86" s="23" t="s">
        <v>72</v>
      </c>
      <c r="B86" s="23"/>
      <c r="C86" s="40">
        <f>15658026+123436+286019</f>
        <v>16067481</v>
      </c>
      <c r="D86" s="40"/>
      <c r="E86" s="40">
        <v>31328543</v>
      </c>
      <c r="F86" s="40"/>
      <c r="G86" s="40">
        <v>10590298</v>
      </c>
      <c r="H86" s="40"/>
      <c r="I86" s="40">
        <v>12803852</v>
      </c>
      <c r="J86" s="40"/>
      <c r="K86" s="40">
        <f>325077+159141+22500+825847+44887</f>
        <v>1377452</v>
      </c>
      <c r="L86" s="40"/>
      <c r="M86" s="40">
        <f>1440235+13313631-1094+2394467</f>
        <v>17147239</v>
      </c>
      <c r="N86" s="40"/>
      <c r="O86" s="40">
        <f t="shared" si="2"/>
        <v>18524691</v>
      </c>
      <c r="P86" s="40"/>
      <c r="Q86" s="26"/>
      <c r="U86" s="96">
        <f t="shared" si="4"/>
        <v>0</v>
      </c>
    </row>
    <row r="87" spans="1:21" ht="12.75">
      <c r="A87" s="23" t="s">
        <v>73</v>
      </c>
      <c r="B87" s="23"/>
      <c r="C87" s="40">
        <f>64217920+646453+2440348</f>
        <v>67304721</v>
      </c>
      <c r="D87" s="40"/>
      <c r="E87" s="40">
        <v>202490996</v>
      </c>
      <c r="F87" s="40"/>
      <c r="G87" s="40">
        <v>99482293</v>
      </c>
      <c r="H87" s="40"/>
      <c r="I87" s="40">
        <v>114987083</v>
      </c>
      <c r="J87" s="40"/>
      <c r="K87" s="40">
        <f>12455123+377380+2462076+547128</f>
        <v>15841707</v>
      </c>
      <c r="L87" s="40"/>
      <c r="M87" s="40">
        <f>10097617+60314864+1249725</f>
        <v>71662206</v>
      </c>
      <c r="N87" s="40"/>
      <c r="O87" s="40">
        <f t="shared" si="2"/>
        <v>87503913</v>
      </c>
      <c r="P87" s="40"/>
      <c r="Q87" s="26"/>
      <c r="U87" s="96">
        <f t="shared" si="4"/>
        <v>0</v>
      </c>
    </row>
    <row r="88" spans="1:21" ht="12.75">
      <c r="A88" s="23" t="s">
        <v>74</v>
      </c>
      <c r="B88" s="23"/>
      <c r="C88" s="40">
        <f>158668925+4650557+3119750</f>
        <v>166439232</v>
      </c>
      <c r="D88" s="40"/>
      <c r="E88" s="40">
        <v>372724180</v>
      </c>
      <c r="F88" s="40"/>
      <c r="G88" s="40">
        <v>168667500</v>
      </c>
      <c r="H88" s="40"/>
      <c r="I88" s="40">
        <v>196097076</v>
      </c>
      <c r="J88" s="40"/>
      <c r="K88" s="40">
        <f>38685890+444124+1114225+5490494</f>
        <v>45734733</v>
      </c>
      <c r="L88" s="40"/>
      <c r="M88" s="40">
        <f>65142661+65356317+4080775-3687382</f>
        <v>130892371</v>
      </c>
      <c r="N88" s="40"/>
      <c r="O88" s="40">
        <f t="shared" si="2"/>
        <v>176627104</v>
      </c>
      <c r="P88" s="40"/>
      <c r="Q88" s="26"/>
      <c r="U88" s="96">
        <f t="shared" si="4"/>
        <v>0</v>
      </c>
    </row>
    <row r="89" spans="1:21" ht="12.75">
      <c r="A89" s="23" t="s">
        <v>75</v>
      </c>
      <c r="B89" s="23"/>
      <c r="C89" s="40">
        <f>73911832+214164+48039</f>
        <v>74174035</v>
      </c>
      <c r="D89" s="40"/>
      <c r="E89" s="40">
        <v>137382232</v>
      </c>
      <c r="F89" s="40"/>
      <c r="G89" s="40">
        <v>54716420</v>
      </c>
      <c r="H89" s="40"/>
      <c r="I89" s="40">
        <v>72004220</v>
      </c>
      <c r="J89" s="40"/>
      <c r="K89" s="40">
        <f>13381688+1237042+203490</f>
        <v>14822220</v>
      </c>
      <c r="L89" s="40"/>
      <c r="M89" s="40">
        <f>15420748+29991220+1683607+3460217</f>
        <v>50555792</v>
      </c>
      <c r="N89" s="40"/>
      <c r="O89" s="40">
        <f t="shared" si="2"/>
        <v>65378012</v>
      </c>
      <c r="P89" s="40"/>
      <c r="Q89" s="26"/>
      <c r="U89" s="96">
        <f t="shared" si="4"/>
        <v>0</v>
      </c>
    </row>
    <row r="90" spans="1:21" ht="12.75">
      <c r="A90" s="23" t="s">
        <v>76</v>
      </c>
      <c r="B90" s="23"/>
      <c r="C90" s="40">
        <f>+37748968+488498+1948037</f>
        <v>40185503</v>
      </c>
      <c r="D90" s="40"/>
      <c r="E90" s="40">
        <v>64906096</v>
      </c>
      <c r="F90" s="40"/>
      <c r="G90" s="40">
        <v>15305196</v>
      </c>
      <c r="H90" s="40"/>
      <c r="I90" s="40">
        <v>18878895</v>
      </c>
      <c r="J90" s="40"/>
      <c r="K90" s="40">
        <f>1566963+69685+4072137+775213+488498</f>
        <v>6972496</v>
      </c>
      <c r="L90" s="40"/>
      <c r="M90" s="40">
        <f>13514177+21378178+4162350</f>
        <v>39054705</v>
      </c>
      <c r="N90" s="40"/>
      <c r="O90" s="40">
        <f t="shared" si="2"/>
        <v>46027201</v>
      </c>
      <c r="P90" s="40"/>
      <c r="Q90" s="26"/>
      <c r="U90" s="96">
        <f t="shared" si="4"/>
        <v>0</v>
      </c>
    </row>
    <row r="91" spans="1:21" ht="12.75">
      <c r="A91" s="23" t="s">
        <v>77</v>
      </c>
      <c r="B91" s="23"/>
      <c r="C91" s="40">
        <f>25919595+697489</f>
        <v>26617084</v>
      </c>
      <c r="D91" s="40"/>
      <c r="E91" s="40">
        <v>46756921</v>
      </c>
      <c r="F91" s="40"/>
      <c r="G91" s="40">
        <v>17799583</v>
      </c>
      <c r="H91" s="40"/>
      <c r="I91" s="40">
        <v>22708821</v>
      </c>
      <c r="J91" s="40"/>
      <c r="K91" s="40">
        <f>874820+81674+186530+369028</f>
        <v>1512052</v>
      </c>
      <c r="L91" s="40"/>
      <c r="M91" s="40">
        <f>6775931+14084346+1675771</f>
        <v>22536048</v>
      </c>
      <c r="N91" s="40"/>
      <c r="O91" s="40">
        <f t="shared" si="2"/>
        <v>24048100</v>
      </c>
      <c r="P91" s="40"/>
      <c r="Q91" s="26"/>
      <c r="U91" s="96">
        <f t="shared" si="4"/>
        <v>0</v>
      </c>
    </row>
    <row r="92" spans="1:21" ht="12.75">
      <c r="A92" s="23" t="s">
        <v>78</v>
      </c>
      <c r="B92" s="23"/>
      <c r="C92" s="40">
        <f>7223342+55164+81823+256719</f>
        <v>7617048</v>
      </c>
      <c r="D92" s="40"/>
      <c r="E92" s="40">
        <v>17157322</v>
      </c>
      <c r="F92" s="40"/>
      <c r="G92" s="40">
        <v>7657705</v>
      </c>
      <c r="H92" s="40"/>
      <c r="I92" s="40">
        <v>13032901</v>
      </c>
      <c r="J92" s="40"/>
      <c r="K92" s="40">
        <f>144686+263627+13312</f>
        <v>421625</v>
      </c>
      <c r="L92" s="40"/>
      <c r="M92" s="40">
        <f>530053+6991220+29675-3848152</f>
        <v>3702796</v>
      </c>
      <c r="N92" s="40"/>
      <c r="O92" s="40">
        <f t="shared" si="2"/>
        <v>4124421</v>
      </c>
      <c r="P92" s="40"/>
      <c r="Q92" s="26"/>
      <c r="U92" s="96">
        <f t="shared" si="4"/>
        <v>0</v>
      </c>
    </row>
    <row r="93" spans="1:21" ht="12.75" hidden="1">
      <c r="A93" s="23" t="s">
        <v>79</v>
      </c>
      <c r="B93" s="23"/>
      <c r="C93" s="40">
        <v>0</v>
      </c>
      <c r="D93" s="40"/>
      <c r="E93" s="40">
        <v>0</v>
      </c>
      <c r="F93" s="40"/>
      <c r="G93" s="40">
        <v>0</v>
      </c>
      <c r="H93" s="40"/>
      <c r="I93" s="40">
        <v>0</v>
      </c>
      <c r="J93" s="40"/>
      <c r="K93" s="40">
        <v>0</v>
      </c>
      <c r="L93" s="40"/>
      <c r="M93" s="40">
        <v>0</v>
      </c>
      <c r="N93" s="40"/>
      <c r="O93" s="40">
        <f t="shared" si="2"/>
        <v>0</v>
      </c>
      <c r="P93" s="40"/>
      <c r="Q93" s="26"/>
      <c r="U93" s="96">
        <f t="shared" si="4"/>
        <v>0</v>
      </c>
    </row>
    <row r="94" spans="1:21" ht="12.75">
      <c r="A94" s="23" t="s">
        <v>80</v>
      </c>
      <c r="B94" s="23"/>
      <c r="C94" s="40">
        <v>113832980</v>
      </c>
      <c r="D94" s="40"/>
      <c r="E94" s="40">
        <v>188765200</v>
      </c>
      <c r="F94" s="40"/>
      <c r="G94" s="40">
        <v>62793908</v>
      </c>
      <c r="H94" s="40"/>
      <c r="I94" s="40">
        <v>74089676</v>
      </c>
      <c r="J94" s="40"/>
      <c r="K94" s="40">
        <f>11320675+224103+634814+7721375+1263322</f>
        <v>21164289</v>
      </c>
      <c r="L94" s="40"/>
      <c r="M94" s="40">
        <f>21381377+65027186+7059884+42788</f>
        <v>93511235</v>
      </c>
      <c r="N94" s="40"/>
      <c r="O94" s="40">
        <f aca="true" t="shared" si="5" ref="O94:O99">+M94+K94</f>
        <v>114675524</v>
      </c>
      <c r="P94" s="40"/>
      <c r="Q94" s="26"/>
      <c r="U94" s="96">
        <f t="shared" si="4"/>
        <v>0</v>
      </c>
    </row>
    <row r="95" spans="1:21" ht="12.75">
      <c r="A95" s="23" t="s">
        <v>81</v>
      </c>
      <c r="B95" s="23"/>
      <c r="C95" s="40">
        <f>23192791+20376+367299</f>
        <v>23580466</v>
      </c>
      <c r="D95" s="40"/>
      <c r="E95" s="40">
        <v>41357119</v>
      </c>
      <c r="F95" s="40"/>
      <c r="G95" s="40">
        <v>12957199</v>
      </c>
      <c r="H95" s="40"/>
      <c r="I95" s="40">
        <v>17060590</v>
      </c>
      <c r="J95" s="40"/>
      <c r="K95" s="40">
        <f>1909834+77651+48058</f>
        <v>2035543</v>
      </c>
      <c r="L95" s="40"/>
      <c r="M95" s="40">
        <f>6664665+15128058+266476+201787</f>
        <v>22260986</v>
      </c>
      <c r="N95" s="40"/>
      <c r="O95" s="40">
        <f t="shared" si="5"/>
        <v>24296529</v>
      </c>
      <c r="P95" s="40"/>
      <c r="Q95" s="26"/>
      <c r="U95" s="96">
        <f t="shared" si="4"/>
        <v>0</v>
      </c>
    </row>
    <row r="96" spans="1:21" ht="12.75">
      <c r="A96" s="23" t="s">
        <v>82</v>
      </c>
      <c r="B96" s="23"/>
      <c r="C96" s="40">
        <f>34825284+62609+645067</f>
        <v>35532960</v>
      </c>
      <c r="D96" s="40"/>
      <c r="E96" s="40">
        <v>59805598</v>
      </c>
      <c r="F96" s="40"/>
      <c r="G96" s="40">
        <v>18545102</v>
      </c>
      <c r="H96" s="40"/>
      <c r="I96" s="40">
        <v>23811068</v>
      </c>
      <c r="J96" s="40"/>
      <c r="K96" s="40">
        <f>6217657+308333+670361+358040</f>
        <v>7554391</v>
      </c>
      <c r="L96" s="40"/>
      <c r="M96" s="40">
        <f>400000+5053415+21350745+751000+884979</f>
        <v>28440139</v>
      </c>
      <c r="N96" s="40"/>
      <c r="O96" s="40">
        <f t="shared" si="5"/>
        <v>35994530</v>
      </c>
      <c r="P96" s="40"/>
      <c r="Q96" s="26"/>
      <c r="U96" s="96">
        <f t="shared" si="4"/>
        <v>0</v>
      </c>
    </row>
    <row r="97" spans="1:21" ht="12.75" hidden="1">
      <c r="A97" s="23" t="s">
        <v>174</v>
      </c>
      <c r="B97" s="23"/>
      <c r="C97" s="40">
        <v>0</v>
      </c>
      <c r="D97" s="40"/>
      <c r="E97" s="40">
        <v>0</v>
      </c>
      <c r="F97" s="40"/>
      <c r="G97" s="40">
        <v>0</v>
      </c>
      <c r="H97" s="40"/>
      <c r="I97" s="40">
        <v>0</v>
      </c>
      <c r="J97" s="40"/>
      <c r="K97" s="40">
        <v>0</v>
      </c>
      <c r="L97" s="40"/>
      <c r="M97" s="40">
        <v>0</v>
      </c>
      <c r="N97" s="40"/>
      <c r="O97" s="40">
        <f t="shared" si="5"/>
        <v>0</v>
      </c>
      <c r="P97" s="40"/>
      <c r="Q97" s="26"/>
      <c r="U97" s="96">
        <f t="shared" si="4"/>
        <v>0</v>
      </c>
    </row>
    <row r="98" spans="1:21" ht="12.75">
      <c r="A98" s="23" t="s">
        <v>83</v>
      </c>
      <c r="B98" s="23"/>
      <c r="C98" s="40">
        <f>7328001+140798</f>
        <v>7468799</v>
      </c>
      <c r="D98" s="40"/>
      <c r="E98" s="40">
        <v>119353234</v>
      </c>
      <c r="F98" s="40"/>
      <c r="G98" s="40">
        <v>40554656</v>
      </c>
      <c r="H98" s="40"/>
      <c r="I98" s="40">
        <v>46772060</v>
      </c>
      <c r="J98" s="40"/>
      <c r="K98" s="40">
        <f>1029125+97506+238864+2164634</f>
        <v>3530129</v>
      </c>
      <c r="L98" s="40"/>
      <c r="M98" s="40">
        <f>897371+15782699+44398016-76375+8049334</f>
        <v>69051045</v>
      </c>
      <c r="N98" s="40"/>
      <c r="O98" s="40">
        <f t="shared" si="5"/>
        <v>72581174</v>
      </c>
      <c r="P98" s="40"/>
      <c r="Q98" s="26"/>
      <c r="U98" s="96">
        <f t="shared" si="4"/>
        <v>0</v>
      </c>
    </row>
    <row r="99" spans="1:21" ht="12.75" hidden="1">
      <c r="A99" s="23" t="s">
        <v>175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14729054</v>
      </c>
      <c r="N99" s="24"/>
      <c r="O99" s="40">
        <f t="shared" si="5"/>
        <v>14729054</v>
      </c>
      <c r="P99" s="24"/>
      <c r="Q99" s="26"/>
      <c r="U99" s="96">
        <f t="shared" si="4"/>
        <v>-14729054</v>
      </c>
    </row>
    <row r="100" spans="1:21" ht="12.75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6"/>
      <c r="U100" s="96">
        <f t="shared" si="4"/>
        <v>0</v>
      </c>
    </row>
    <row r="101" spans="1:17" ht="12.75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33"/>
      <c r="Q101" s="26"/>
    </row>
  </sheetData>
  <sheetProtection/>
  <printOptions horizontalCentered="1"/>
  <pageMargins left="1" right="1" top="0.5" bottom="0.5" header="0" footer="0.25"/>
  <pageSetup firstPageNumber="20" useFirstPageNumber="1" horizontalDpi="1200" verticalDpi="1200" orientation="portrait" pageOrder="overThenDown" scale="95" r:id="rId1"/>
  <headerFooter alignWithMargins="0">
    <oddFooter>&amp;C&amp;"Times New Roman,Regular"&amp;11&amp;P</oddFooter>
  </headerFooter>
  <rowBreaks count="1" manualBreakCount="1">
    <brk id="75" max="19" man="1"/>
  </rowBreaks>
  <colBreaks count="1" manualBreakCount="1">
    <brk id="10" max="9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S113"/>
  <sheetViews>
    <sheetView zoomScaleSheetLayoutView="75" zoomScalePageLayoutView="0"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6" sqref="Q76"/>
    </sheetView>
  </sheetViews>
  <sheetFormatPr defaultColWidth="9.140625" defaultRowHeight="12.75"/>
  <cols>
    <col min="1" max="1" width="18.7109375" style="34" customWidth="1"/>
    <col min="2" max="2" width="1.7109375" style="2" customWidth="1"/>
    <col min="3" max="3" width="11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2.7109375" style="34" customWidth="1"/>
    <col min="16" max="16" width="1.7109375" style="2" customWidth="1"/>
    <col min="17" max="17" width="12.7109375" style="2" customWidth="1"/>
    <col min="19" max="19" width="9.28125" style="0" bestFit="1" customWidth="1"/>
  </cols>
  <sheetData>
    <row r="1" spans="1:19" s="3" customFormat="1" ht="12.75">
      <c r="A1" s="57" t="s">
        <v>200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0"/>
      <c r="P1" s="7"/>
      <c r="Q1" s="7"/>
      <c r="R1" s="8"/>
      <c r="S1" s="8"/>
    </row>
    <row r="2" spans="1:19" s="3" customFormat="1" ht="12.75">
      <c r="A2" s="57" t="s">
        <v>249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0"/>
      <c r="P2" s="7"/>
      <c r="Q2" s="7"/>
      <c r="R2" s="8"/>
      <c r="S2" s="8"/>
    </row>
    <row r="3" spans="1:19" s="3" customFormat="1" ht="12.75">
      <c r="A3" s="5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0"/>
      <c r="P3" s="7"/>
      <c r="Q3" s="7"/>
      <c r="R3" s="8"/>
      <c r="S3" s="8"/>
    </row>
    <row r="4" spans="1:19" s="2" customFormat="1" ht="12.75">
      <c r="A4" s="57" t="s">
        <v>184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9"/>
      <c r="P4" s="6"/>
      <c r="Q4" s="6"/>
      <c r="R4" s="9"/>
      <c r="S4" s="9"/>
    </row>
    <row r="5" spans="1:19" s="2" customFormat="1" ht="12.75">
      <c r="A5" s="5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9"/>
      <c r="P5" s="6"/>
      <c r="Q5" s="6"/>
      <c r="R5" s="9"/>
      <c r="S5" s="9"/>
    </row>
    <row r="6" spans="1:19" s="2" customFormat="1" ht="12.75">
      <c r="A6" s="63" t="s">
        <v>253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9"/>
      <c r="P6" s="4"/>
      <c r="Q6" s="4"/>
      <c r="R6" s="9"/>
      <c r="S6" s="9" t="s">
        <v>164</v>
      </c>
    </row>
    <row r="7" spans="1:19" s="2" customFormat="1" ht="12.75">
      <c r="A7" s="19"/>
      <c r="B7" s="4"/>
      <c r="C7" s="4" t="s">
        <v>148</v>
      </c>
      <c r="D7" s="4"/>
      <c r="E7" s="4" t="s">
        <v>167</v>
      </c>
      <c r="F7" s="4"/>
      <c r="G7" s="4" t="s">
        <v>164</v>
      </c>
      <c r="H7" s="4"/>
      <c r="I7" s="4" t="s">
        <v>0</v>
      </c>
      <c r="J7" s="4"/>
      <c r="K7" s="4" t="s">
        <v>1</v>
      </c>
      <c r="L7" s="4"/>
      <c r="M7" s="4" t="s">
        <v>2</v>
      </c>
      <c r="N7" s="4"/>
      <c r="O7" s="19" t="s">
        <v>3</v>
      </c>
      <c r="P7" s="4"/>
      <c r="Q7" s="4" t="s">
        <v>4</v>
      </c>
      <c r="R7" s="9"/>
      <c r="S7" s="9" t="s">
        <v>209</v>
      </c>
    </row>
    <row r="8" spans="1:19" s="2" customFormat="1" ht="12.75">
      <c r="A8" s="22" t="s">
        <v>5</v>
      </c>
      <c r="B8" s="18"/>
      <c r="C8" s="22" t="s">
        <v>228</v>
      </c>
      <c r="D8" s="18"/>
      <c r="E8" s="22" t="s">
        <v>7</v>
      </c>
      <c r="F8" s="18"/>
      <c r="G8" s="22" t="s">
        <v>6</v>
      </c>
      <c r="H8" s="18"/>
      <c r="I8" s="22" t="s">
        <v>8</v>
      </c>
      <c r="J8" s="18"/>
      <c r="K8" s="22" t="s">
        <v>9</v>
      </c>
      <c r="L8" s="18"/>
      <c r="M8" s="22" t="s">
        <v>10</v>
      </c>
      <c r="N8" s="18"/>
      <c r="O8" s="22" t="s">
        <v>11</v>
      </c>
      <c r="P8" s="18"/>
      <c r="Q8" s="22" t="s">
        <v>12</v>
      </c>
      <c r="R8" s="9"/>
      <c r="S8" s="9" t="s">
        <v>210</v>
      </c>
    </row>
    <row r="9" spans="1:19" s="2" customFormat="1" ht="12.75">
      <c r="A9" s="19"/>
      <c r="B9" s="18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9"/>
      <c r="S9" s="9"/>
    </row>
    <row r="10" spans="1:19" s="2" customFormat="1" ht="12.75" hidden="1">
      <c r="A10" s="89" t="s">
        <v>237</v>
      </c>
      <c r="B10" s="18"/>
      <c r="C10" s="46">
        <v>0</v>
      </c>
      <c r="D10" s="46"/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5"/>
      <c r="O10" s="61">
        <f>Q10-C10-E10-G10-I10-K10-M10</f>
        <v>0</v>
      </c>
      <c r="P10" s="45"/>
      <c r="Q10" s="46">
        <v>0</v>
      </c>
      <c r="R10" s="9"/>
      <c r="S10" s="48">
        <v>0</v>
      </c>
    </row>
    <row r="11" spans="1:19" s="2" customFormat="1" ht="12.75">
      <c r="A11" s="62" t="s">
        <v>13</v>
      </c>
      <c r="B11" s="18"/>
      <c r="C11" s="46">
        <v>3053882</v>
      </c>
      <c r="D11" s="46"/>
      <c r="E11" s="46">
        <v>13694554</v>
      </c>
      <c r="F11" s="46"/>
      <c r="G11" s="46">
        <v>535343</v>
      </c>
      <c r="H11" s="46"/>
      <c r="I11" s="46">
        <v>4367999</v>
      </c>
      <c r="J11" s="46"/>
      <c r="K11" s="46">
        <v>2880257</v>
      </c>
      <c r="L11" s="46"/>
      <c r="M11" s="46">
        <v>0</v>
      </c>
      <c r="N11" s="45"/>
      <c r="O11" s="61">
        <f>Q11-C11-E11-G11-I11-K11-M11</f>
        <v>169306</v>
      </c>
      <c r="P11" s="45"/>
      <c r="Q11" s="46">
        <v>24701341</v>
      </c>
      <c r="R11" s="9"/>
      <c r="S11" s="46">
        <f>1027711+10122</f>
        <v>1037833</v>
      </c>
    </row>
    <row r="12" spans="1:19" s="2" customFormat="1" ht="12.75">
      <c r="A12" s="62" t="s">
        <v>14</v>
      </c>
      <c r="B12" s="18"/>
      <c r="C12" s="16">
        <v>2256052</v>
      </c>
      <c r="D12" s="16"/>
      <c r="E12" s="16">
        <v>5036366</v>
      </c>
      <c r="F12" s="16"/>
      <c r="G12" s="16">
        <v>4372</v>
      </c>
      <c r="H12" s="16"/>
      <c r="I12" s="16">
        <v>1716482</v>
      </c>
      <c r="J12" s="16"/>
      <c r="K12" s="16">
        <v>2233060</v>
      </c>
      <c r="L12" s="16"/>
      <c r="M12" s="16">
        <v>0</v>
      </c>
      <c r="N12" s="14"/>
      <c r="O12" s="40">
        <f>Q12-C12-E12-G12-I12-K12-M12</f>
        <v>1817461</v>
      </c>
      <c r="P12" s="14"/>
      <c r="Q12" s="16">
        <v>13063793</v>
      </c>
      <c r="R12" s="9"/>
      <c r="S12" s="16">
        <v>180304</v>
      </c>
    </row>
    <row r="13" spans="1:19" s="2" customFormat="1" ht="12.75">
      <c r="A13" s="62" t="s">
        <v>15</v>
      </c>
      <c r="B13" s="18"/>
      <c r="C13" s="16">
        <v>4681295</v>
      </c>
      <c r="D13" s="16"/>
      <c r="E13" s="16">
        <v>8020000</v>
      </c>
      <c r="F13" s="16"/>
      <c r="G13" s="16">
        <v>0</v>
      </c>
      <c r="H13" s="16"/>
      <c r="I13" s="16">
        <v>3844556</v>
      </c>
      <c r="J13" s="16"/>
      <c r="K13" s="16">
        <v>2539185</v>
      </c>
      <c r="L13" s="16"/>
      <c r="M13" s="16">
        <v>0</v>
      </c>
      <c r="N13" s="14"/>
      <c r="O13" s="40">
        <f aca="true" t="shared" si="0" ref="O13:O28">Q13-C13-E13-G13-I13-K13-M13</f>
        <v>3604586</v>
      </c>
      <c r="P13" s="14"/>
      <c r="Q13" s="16">
        <v>22689622</v>
      </c>
      <c r="R13" s="9"/>
      <c r="S13" s="16">
        <f>84250+474+669780</f>
        <v>754504</v>
      </c>
    </row>
    <row r="14" spans="1:19" s="2" customFormat="1" ht="12.75">
      <c r="A14" s="62" t="s">
        <v>16</v>
      </c>
      <c r="B14" s="18"/>
      <c r="C14" s="16">
        <v>1722961</v>
      </c>
      <c r="D14" s="16"/>
      <c r="E14" s="16">
        <v>5000554</v>
      </c>
      <c r="F14" s="16"/>
      <c r="G14" s="16">
        <v>0</v>
      </c>
      <c r="H14" s="16"/>
      <c r="I14" s="16">
        <v>1973665</v>
      </c>
      <c r="J14" s="16"/>
      <c r="K14" s="16">
        <v>1780664</v>
      </c>
      <c r="L14" s="16"/>
      <c r="M14" s="16">
        <v>0</v>
      </c>
      <c r="N14" s="14"/>
      <c r="O14" s="40">
        <f t="shared" si="0"/>
        <v>2231966</v>
      </c>
      <c r="P14" s="14"/>
      <c r="Q14" s="16">
        <v>12709810</v>
      </c>
      <c r="R14" s="9"/>
      <c r="S14" s="16">
        <f>470+209781</f>
        <v>210251</v>
      </c>
    </row>
    <row r="15" spans="1:19" s="2" customFormat="1" ht="12.75">
      <c r="A15" s="62" t="s">
        <v>17</v>
      </c>
      <c r="B15" s="18"/>
      <c r="C15" s="16">
        <v>1987367</v>
      </c>
      <c r="D15" s="16"/>
      <c r="E15" s="16">
        <v>5071028</v>
      </c>
      <c r="F15" s="16"/>
      <c r="G15" s="16">
        <v>0</v>
      </c>
      <c r="H15" s="16"/>
      <c r="I15" s="16">
        <v>1547096</v>
      </c>
      <c r="J15" s="16"/>
      <c r="K15" s="16">
        <v>1390591</v>
      </c>
      <c r="L15" s="16"/>
      <c r="M15" s="16">
        <v>0</v>
      </c>
      <c r="N15" s="14"/>
      <c r="O15" s="40">
        <f t="shared" si="0"/>
        <v>1737060</v>
      </c>
      <c r="P15" s="14"/>
      <c r="Q15" s="16">
        <v>11733142</v>
      </c>
      <c r="R15" s="9"/>
      <c r="S15" s="16">
        <f>2738+228574+92700</f>
        <v>324012</v>
      </c>
    </row>
    <row r="16" spans="1:19" s="2" customFormat="1" ht="12.75">
      <c r="A16" s="62" t="s">
        <v>18</v>
      </c>
      <c r="B16" s="18"/>
      <c r="C16" s="16">
        <v>2159795</v>
      </c>
      <c r="D16" s="16"/>
      <c r="E16" s="16">
        <v>11210345</v>
      </c>
      <c r="F16" s="16"/>
      <c r="G16" s="16">
        <v>0</v>
      </c>
      <c r="H16" s="16"/>
      <c r="I16" s="16">
        <v>2174354</v>
      </c>
      <c r="J16" s="16"/>
      <c r="K16" s="16">
        <v>1466258</v>
      </c>
      <c r="L16" s="16"/>
      <c r="M16" s="16">
        <v>0</v>
      </c>
      <c r="N16" s="14"/>
      <c r="O16" s="40">
        <f t="shared" si="0"/>
        <v>2999217</v>
      </c>
      <c r="P16" s="14"/>
      <c r="Q16" s="16">
        <v>20009969</v>
      </c>
      <c r="R16" s="9"/>
      <c r="S16" s="16">
        <f>44066+11984+76</f>
        <v>56126</v>
      </c>
    </row>
    <row r="17" spans="1:19" s="2" customFormat="1" ht="12.75" hidden="1">
      <c r="A17" s="62" t="s">
        <v>240</v>
      </c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4"/>
      <c r="O17" s="40">
        <f t="shared" si="0"/>
        <v>0</v>
      </c>
      <c r="P17" s="14"/>
      <c r="Q17" s="16"/>
      <c r="R17" s="9"/>
      <c r="S17" s="16"/>
    </row>
    <row r="18" spans="1:19" s="2" customFormat="1" ht="12.75">
      <c r="A18" s="62" t="s">
        <v>252</v>
      </c>
      <c r="B18" s="18"/>
      <c r="C18" s="16">
        <v>14271776</v>
      </c>
      <c r="D18" s="16"/>
      <c r="E18" s="16">
        <v>41256564</v>
      </c>
      <c r="F18" s="16"/>
      <c r="G18" s="16">
        <v>0</v>
      </c>
      <c r="H18" s="16"/>
      <c r="I18" s="16">
        <v>28802399</v>
      </c>
      <c r="J18" s="16"/>
      <c r="K18" s="16">
        <v>7957951</v>
      </c>
      <c r="L18" s="16"/>
      <c r="M18" s="16">
        <v>0</v>
      </c>
      <c r="N18" s="14"/>
      <c r="O18" s="40">
        <f t="shared" si="0"/>
        <v>16022839</v>
      </c>
      <c r="P18" s="14"/>
      <c r="Q18" s="16">
        <v>108311529</v>
      </c>
      <c r="R18" s="9"/>
      <c r="S18" s="16">
        <f>4999+12305000+681305+118942+1432869</f>
        <v>14543115</v>
      </c>
    </row>
    <row r="19" spans="1:19" s="2" customFormat="1" ht="12.75">
      <c r="A19" s="62" t="s">
        <v>20</v>
      </c>
      <c r="B19" s="18"/>
      <c r="C19" s="16">
        <v>1552975</v>
      </c>
      <c r="D19" s="16"/>
      <c r="E19" s="16">
        <v>1803206</v>
      </c>
      <c r="F19" s="16"/>
      <c r="G19" s="16">
        <v>0</v>
      </c>
      <c r="H19" s="16"/>
      <c r="I19" s="16">
        <v>1043231</v>
      </c>
      <c r="J19" s="16"/>
      <c r="K19" s="16">
        <v>737958</v>
      </c>
      <c r="L19" s="16"/>
      <c r="M19" s="16">
        <v>0</v>
      </c>
      <c r="N19" s="14"/>
      <c r="O19" s="40">
        <f t="shared" si="0"/>
        <v>738127</v>
      </c>
      <c r="P19" s="14"/>
      <c r="Q19" s="16">
        <v>5875497</v>
      </c>
      <c r="R19" s="9"/>
      <c r="S19" s="16">
        <v>126420</v>
      </c>
    </row>
    <row r="20" spans="1:19" s="2" customFormat="1" ht="12.75" hidden="1">
      <c r="A20" s="62" t="s">
        <v>172</v>
      </c>
      <c r="B20" s="18"/>
      <c r="C20" s="16">
        <v>0</v>
      </c>
      <c r="D20" s="16"/>
      <c r="E20" s="16">
        <v>0</v>
      </c>
      <c r="F20" s="16"/>
      <c r="G20" s="16">
        <v>0</v>
      </c>
      <c r="H20" s="16"/>
      <c r="I20" s="16">
        <v>0</v>
      </c>
      <c r="J20" s="16"/>
      <c r="K20" s="16">
        <v>0</v>
      </c>
      <c r="L20" s="16"/>
      <c r="M20" s="16">
        <v>0</v>
      </c>
      <c r="N20" s="14"/>
      <c r="O20" s="40">
        <f t="shared" si="0"/>
        <v>0</v>
      </c>
      <c r="P20" s="14"/>
      <c r="Q20" s="16">
        <v>0</v>
      </c>
      <c r="R20" s="9"/>
      <c r="S20" s="16">
        <v>0</v>
      </c>
    </row>
    <row r="21" spans="1:19" s="2" customFormat="1" ht="12.75">
      <c r="A21" s="62" t="s">
        <v>21</v>
      </c>
      <c r="B21" s="18"/>
      <c r="C21" s="16">
        <v>3480530</v>
      </c>
      <c r="D21" s="16"/>
      <c r="E21" s="16">
        <v>14485796</v>
      </c>
      <c r="F21" s="16"/>
      <c r="G21" s="16">
        <v>0</v>
      </c>
      <c r="H21" s="16"/>
      <c r="I21" s="16">
        <v>5826951</v>
      </c>
      <c r="J21" s="16"/>
      <c r="K21" s="16">
        <v>5837948</v>
      </c>
      <c r="L21" s="16"/>
      <c r="M21" s="16">
        <v>0</v>
      </c>
      <c r="N21" s="14"/>
      <c r="O21" s="40">
        <f t="shared" si="0"/>
        <v>5795612</v>
      </c>
      <c r="P21" s="14"/>
      <c r="Q21" s="16">
        <v>35426837</v>
      </c>
      <c r="R21" s="9"/>
      <c r="S21" s="16">
        <f>30000+586798</f>
        <v>616798</v>
      </c>
    </row>
    <row r="22" spans="1:19" s="2" customFormat="1" ht="12.75">
      <c r="A22" s="62" t="s">
        <v>181</v>
      </c>
      <c r="B22" s="18"/>
      <c r="C22" s="16">
        <v>29458967</v>
      </c>
      <c r="D22" s="16"/>
      <c r="E22" s="16">
        <v>0</v>
      </c>
      <c r="F22" s="16"/>
      <c r="G22" s="16">
        <v>0</v>
      </c>
      <c r="H22" s="16"/>
      <c r="I22" s="16">
        <v>11358149</v>
      </c>
      <c r="J22" s="16"/>
      <c r="K22" s="16">
        <v>4696157</v>
      </c>
      <c r="L22" s="16"/>
      <c r="M22" s="16">
        <v>0</v>
      </c>
      <c r="N22" s="14"/>
      <c r="O22" s="40">
        <f t="shared" si="0"/>
        <v>10148983</v>
      </c>
      <c r="P22" s="14"/>
      <c r="Q22" s="16">
        <v>55662256</v>
      </c>
      <c r="R22" s="9"/>
      <c r="S22" s="16">
        <f>50000+1301496</f>
        <v>1351496</v>
      </c>
    </row>
    <row r="23" spans="1:19" s="2" customFormat="1" ht="12.75">
      <c r="A23" s="62" t="s">
        <v>22</v>
      </c>
      <c r="B23" s="18"/>
      <c r="C23" s="16">
        <v>1834393</v>
      </c>
      <c r="D23" s="16"/>
      <c r="E23" s="16">
        <v>7821787</v>
      </c>
      <c r="F23" s="16"/>
      <c r="G23" s="16">
        <v>0</v>
      </c>
      <c r="H23" s="16"/>
      <c r="I23" s="16">
        <v>1907895</v>
      </c>
      <c r="J23" s="16"/>
      <c r="K23" s="16">
        <v>1199334</v>
      </c>
      <c r="L23" s="16"/>
      <c r="M23" s="16">
        <v>0</v>
      </c>
      <c r="N23" s="14"/>
      <c r="O23" s="40">
        <f t="shared" si="0"/>
        <v>1760772</v>
      </c>
      <c r="P23" s="14"/>
      <c r="Q23" s="16">
        <v>14524181</v>
      </c>
      <c r="R23" s="9"/>
      <c r="S23" s="16">
        <f>12600+794</f>
        <v>13394</v>
      </c>
    </row>
    <row r="24" spans="1:19" s="2" customFormat="1" ht="12.75" hidden="1">
      <c r="A24" s="62" t="s">
        <v>180</v>
      </c>
      <c r="B24" s="18"/>
      <c r="C24" s="16">
        <v>0</v>
      </c>
      <c r="D24" s="16"/>
      <c r="E24" s="16">
        <v>0</v>
      </c>
      <c r="F24" s="16"/>
      <c r="G24" s="16">
        <v>0</v>
      </c>
      <c r="H24" s="16"/>
      <c r="I24" s="16">
        <v>0</v>
      </c>
      <c r="J24" s="16"/>
      <c r="K24" s="16">
        <v>0</v>
      </c>
      <c r="L24" s="16"/>
      <c r="M24" s="16">
        <v>0</v>
      </c>
      <c r="N24" s="14"/>
      <c r="O24" s="40">
        <f t="shared" si="0"/>
        <v>0</v>
      </c>
      <c r="P24" s="14"/>
      <c r="Q24" s="16">
        <v>0</v>
      </c>
      <c r="R24" s="9"/>
      <c r="S24" s="16">
        <v>0</v>
      </c>
    </row>
    <row r="25" spans="1:19" s="2" customFormat="1" ht="12.75">
      <c r="A25" s="62" t="s">
        <v>24</v>
      </c>
      <c r="B25" s="18"/>
      <c r="C25" s="16">
        <v>1433529</v>
      </c>
      <c r="D25" s="16"/>
      <c r="E25" s="16">
        <v>4382732</v>
      </c>
      <c r="F25" s="16"/>
      <c r="G25" s="16">
        <v>0</v>
      </c>
      <c r="H25" s="16"/>
      <c r="I25" s="16">
        <v>1047751</v>
      </c>
      <c r="J25" s="16"/>
      <c r="K25" s="16">
        <v>1353928</v>
      </c>
      <c r="L25" s="16"/>
      <c r="M25" s="16">
        <v>0</v>
      </c>
      <c r="N25" s="14"/>
      <c r="O25" s="40">
        <f t="shared" si="0"/>
        <v>1357861</v>
      </c>
      <c r="P25" s="14"/>
      <c r="Q25" s="16">
        <v>9575801</v>
      </c>
      <c r="R25" s="9"/>
      <c r="S25" s="16">
        <v>10277</v>
      </c>
    </row>
    <row r="26" spans="1:19" s="2" customFormat="1" ht="12.75">
      <c r="A26" s="62" t="s">
        <v>243</v>
      </c>
      <c r="B26" s="18"/>
      <c r="C26" s="16">
        <v>1401629</v>
      </c>
      <c r="D26" s="16"/>
      <c r="E26" s="16">
        <v>3309542</v>
      </c>
      <c r="F26" s="16"/>
      <c r="G26" s="16">
        <v>0</v>
      </c>
      <c r="H26" s="16"/>
      <c r="I26" s="16">
        <v>1982950</v>
      </c>
      <c r="J26" s="16"/>
      <c r="K26" s="16">
        <v>1571207</v>
      </c>
      <c r="L26" s="16"/>
      <c r="M26" s="16">
        <v>0</v>
      </c>
      <c r="N26" s="14"/>
      <c r="O26" s="40">
        <f t="shared" si="0"/>
        <v>1167516</v>
      </c>
      <c r="P26" s="14"/>
      <c r="Q26" s="16">
        <v>9432844</v>
      </c>
      <c r="R26" s="9"/>
      <c r="S26" s="16">
        <v>35098</v>
      </c>
    </row>
    <row r="27" spans="1:19" s="2" customFormat="1" ht="12.75">
      <c r="A27" s="62" t="s">
        <v>25</v>
      </c>
      <c r="B27" s="18"/>
      <c r="C27" s="16">
        <f>20231*1000</f>
        <v>20231000</v>
      </c>
      <c r="D27" s="16"/>
      <c r="E27" s="16">
        <f>179932*1000</f>
        <v>179932000</v>
      </c>
      <c r="F27" s="16"/>
      <c r="G27" s="16">
        <f>6*1000</f>
        <v>6000</v>
      </c>
      <c r="H27" s="16"/>
      <c r="I27" s="16">
        <f>66675*1000</f>
        <v>66675000</v>
      </c>
      <c r="J27" s="16"/>
      <c r="K27" s="16">
        <f>(36942+9588)*1000</f>
        <v>46530000</v>
      </c>
      <c r="L27" s="16"/>
      <c r="M27" s="16">
        <v>0</v>
      </c>
      <c r="N27" s="14"/>
      <c r="O27" s="40">
        <f t="shared" si="0"/>
        <v>70456000</v>
      </c>
      <c r="P27" s="14"/>
      <c r="Q27" s="16">
        <f>383830*1000</f>
        <v>383830000</v>
      </c>
      <c r="R27" s="9"/>
      <c r="S27" s="16">
        <f>(1062+1044)*1000</f>
        <v>2106000</v>
      </c>
    </row>
    <row r="28" spans="1:19" s="2" customFormat="1" ht="12.75">
      <c r="A28" s="62" t="s">
        <v>26</v>
      </c>
      <c r="B28" s="18"/>
      <c r="C28" s="16">
        <v>9989569</v>
      </c>
      <c r="D28" s="16"/>
      <c r="E28" s="16">
        <v>0</v>
      </c>
      <c r="F28" s="16"/>
      <c r="G28" s="16">
        <v>0</v>
      </c>
      <c r="H28" s="16"/>
      <c r="I28" s="16">
        <v>1208470</v>
      </c>
      <c r="J28" s="16"/>
      <c r="K28" s="16">
        <v>1295416</v>
      </c>
      <c r="L28" s="16"/>
      <c r="M28" s="16">
        <v>0</v>
      </c>
      <c r="N28" s="14"/>
      <c r="O28" s="40">
        <f t="shared" si="0"/>
        <v>1688480</v>
      </c>
      <c r="P28" s="14"/>
      <c r="Q28" s="16">
        <v>14181935</v>
      </c>
      <c r="R28" s="9"/>
      <c r="S28" s="16">
        <f>1928+474</f>
        <v>2402</v>
      </c>
    </row>
    <row r="29" spans="1:19" s="2" customFormat="1" ht="12.75">
      <c r="A29" s="62" t="s">
        <v>27</v>
      </c>
      <c r="B29" s="18"/>
      <c r="C29" s="16">
        <v>1848611</v>
      </c>
      <c r="D29" s="16"/>
      <c r="E29" s="16">
        <v>4748229</v>
      </c>
      <c r="F29" s="16"/>
      <c r="G29" s="16">
        <v>0</v>
      </c>
      <c r="H29" s="16"/>
      <c r="I29" s="16">
        <v>1295957</v>
      </c>
      <c r="J29" s="16"/>
      <c r="K29" s="16">
        <v>1292499</v>
      </c>
      <c r="L29" s="16"/>
      <c r="M29" s="16">
        <v>0</v>
      </c>
      <c r="N29" s="14"/>
      <c r="O29" s="40">
        <f aca="true" t="shared" si="1" ref="O29:O93">Q29-C29-E29-G29-I29-K29-M29</f>
        <v>3146871</v>
      </c>
      <c r="P29" s="14"/>
      <c r="Q29" s="16">
        <v>12332167</v>
      </c>
      <c r="R29" s="9"/>
      <c r="S29" s="16">
        <f>11065+5174</f>
        <v>16239</v>
      </c>
    </row>
    <row r="30" spans="1:19" s="2" customFormat="1" ht="12.75">
      <c r="A30" s="62" t="s">
        <v>28</v>
      </c>
      <c r="B30" s="18"/>
      <c r="C30" s="16">
        <v>6522199</v>
      </c>
      <c r="D30" s="16"/>
      <c r="E30" s="16">
        <v>21872362</v>
      </c>
      <c r="F30" s="16"/>
      <c r="G30" s="16">
        <v>0</v>
      </c>
      <c r="H30" s="16"/>
      <c r="I30" s="16">
        <v>9858565</v>
      </c>
      <c r="J30" s="16"/>
      <c r="K30" s="16">
        <v>3791323</v>
      </c>
      <c r="L30" s="16"/>
      <c r="M30" s="16">
        <v>0</v>
      </c>
      <c r="N30" s="14"/>
      <c r="O30" s="40">
        <f t="shared" si="1"/>
        <v>11769049</v>
      </c>
      <c r="P30" s="14"/>
      <c r="Q30" s="16">
        <v>53813498</v>
      </c>
      <c r="R30" s="9"/>
      <c r="S30" s="16">
        <v>38000</v>
      </c>
    </row>
    <row r="31" spans="1:19" s="2" customFormat="1" ht="12.75">
      <c r="A31" s="62" t="s">
        <v>29</v>
      </c>
      <c r="B31" s="18"/>
      <c r="C31" s="16">
        <v>5643312</v>
      </c>
      <c r="D31" s="16"/>
      <c r="E31" s="16">
        <v>12544817</v>
      </c>
      <c r="F31" s="16"/>
      <c r="G31" s="16">
        <v>0</v>
      </c>
      <c r="H31" s="16"/>
      <c r="I31" s="16">
        <v>1852558</v>
      </c>
      <c r="J31" s="16"/>
      <c r="K31" s="16">
        <v>2772228</v>
      </c>
      <c r="L31" s="16"/>
      <c r="M31" s="16">
        <v>176419</v>
      </c>
      <c r="N31" s="14"/>
      <c r="O31" s="40">
        <f t="shared" si="1"/>
        <v>5534379</v>
      </c>
      <c r="P31" s="14"/>
      <c r="Q31" s="16">
        <v>28523713</v>
      </c>
      <c r="R31" s="9"/>
      <c r="S31" s="16">
        <v>269777</v>
      </c>
    </row>
    <row r="32" spans="1:19" s="2" customFormat="1" ht="12.75">
      <c r="A32" s="62" t="s">
        <v>30</v>
      </c>
      <c r="B32" s="18"/>
      <c r="C32" s="16">
        <v>6947695</v>
      </c>
      <c r="D32" s="16"/>
      <c r="E32" s="16">
        <v>11444458</v>
      </c>
      <c r="F32" s="16"/>
      <c r="G32" s="16">
        <v>1691770</v>
      </c>
      <c r="H32" s="16"/>
      <c r="I32" s="16">
        <v>4751423</v>
      </c>
      <c r="J32" s="16"/>
      <c r="K32" s="16">
        <v>4003577</v>
      </c>
      <c r="L32" s="16"/>
      <c r="M32" s="16">
        <v>0</v>
      </c>
      <c r="N32" s="14"/>
      <c r="O32" s="40">
        <f t="shared" si="1"/>
        <v>4300972</v>
      </c>
      <c r="P32" s="14"/>
      <c r="Q32" s="16">
        <v>33139895</v>
      </c>
      <c r="R32" s="9"/>
      <c r="S32" s="16">
        <f>41229+12528+126107</f>
        <v>179864</v>
      </c>
    </row>
    <row r="33" spans="1:19" s="2" customFormat="1" ht="12.75" hidden="1">
      <c r="A33" s="62" t="s">
        <v>239</v>
      </c>
      <c r="B33" s="18"/>
      <c r="C33" s="16">
        <v>0</v>
      </c>
      <c r="D33" s="16"/>
      <c r="E33" s="16">
        <v>0</v>
      </c>
      <c r="F33" s="16"/>
      <c r="G33" s="16">
        <v>0</v>
      </c>
      <c r="H33" s="16"/>
      <c r="I33" s="16">
        <v>0</v>
      </c>
      <c r="J33" s="16"/>
      <c r="K33" s="16">
        <v>0</v>
      </c>
      <c r="L33" s="16"/>
      <c r="M33" s="16">
        <v>0</v>
      </c>
      <c r="N33" s="14"/>
      <c r="O33" s="40">
        <f t="shared" si="1"/>
        <v>0</v>
      </c>
      <c r="P33" s="14"/>
      <c r="Q33" s="16">
        <v>0</v>
      </c>
      <c r="R33" s="9"/>
      <c r="S33" s="16">
        <v>0</v>
      </c>
    </row>
    <row r="34" spans="1:19" s="2" customFormat="1" ht="12.75">
      <c r="A34" s="62" t="s">
        <v>32</v>
      </c>
      <c r="B34" s="18"/>
      <c r="C34" s="16">
        <f>43728*1000</f>
        <v>43728000</v>
      </c>
      <c r="D34" s="16"/>
      <c r="E34" s="16">
        <f>177768*1000</f>
        <v>177768000</v>
      </c>
      <c r="F34" s="16"/>
      <c r="G34" s="16">
        <v>0</v>
      </c>
      <c r="H34" s="16"/>
      <c r="I34" s="16">
        <f>48469*1000</f>
        <v>48469000</v>
      </c>
      <c r="J34" s="16"/>
      <c r="K34" s="16">
        <f>36699*1000</f>
        <v>36699000</v>
      </c>
      <c r="L34" s="16"/>
      <c r="M34" s="16">
        <v>0</v>
      </c>
      <c r="N34" s="14"/>
      <c r="O34" s="40">
        <f t="shared" si="1"/>
        <v>55215000</v>
      </c>
      <c r="P34" s="14"/>
      <c r="Q34" s="16">
        <f>361879*1000</f>
        <v>361879000</v>
      </c>
      <c r="R34" s="9"/>
      <c r="S34" s="16">
        <f>(1260+1481+3)*1000</f>
        <v>2744000</v>
      </c>
    </row>
    <row r="35" spans="1:19" s="2" customFormat="1" ht="12.75">
      <c r="A35" s="62" t="s">
        <v>33</v>
      </c>
      <c r="B35" s="18"/>
      <c r="C35" s="16">
        <v>1681862</v>
      </c>
      <c r="D35" s="16"/>
      <c r="E35" s="16">
        <v>4058595</v>
      </c>
      <c r="F35" s="16"/>
      <c r="G35" s="16">
        <v>0</v>
      </c>
      <c r="H35" s="16"/>
      <c r="I35" s="16">
        <v>1514811</v>
      </c>
      <c r="J35" s="16"/>
      <c r="K35" s="16">
        <v>1678552</v>
      </c>
      <c r="L35" s="16"/>
      <c r="M35" s="16">
        <v>0</v>
      </c>
      <c r="N35" s="14"/>
      <c r="O35" s="40">
        <f t="shared" si="1"/>
        <v>2344336</v>
      </c>
      <c r="P35" s="14"/>
      <c r="Q35" s="16">
        <v>11278156</v>
      </c>
      <c r="R35" s="9"/>
      <c r="S35" s="16">
        <f>39557+13590+116415</f>
        <v>169562</v>
      </c>
    </row>
    <row r="36" spans="1:19" s="2" customFormat="1" ht="12.75">
      <c r="A36" s="62" t="s">
        <v>34</v>
      </c>
      <c r="B36" s="18"/>
      <c r="C36" s="16">
        <v>1916973</v>
      </c>
      <c r="D36" s="16"/>
      <c r="E36" s="16">
        <v>3260078</v>
      </c>
      <c r="F36" s="16"/>
      <c r="G36" s="16">
        <v>0</v>
      </c>
      <c r="H36" s="16"/>
      <c r="I36" s="16">
        <v>1052531</v>
      </c>
      <c r="J36" s="16"/>
      <c r="K36" s="16">
        <v>1145680</v>
      </c>
      <c r="L36" s="16"/>
      <c r="M36" s="16">
        <v>0</v>
      </c>
      <c r="N36" s="14"/>
      <c r="O36" s="40">
        <f t="shared" si="1"/>
        <v>848595</v>
      </c>
      <c r="P36" s="14"/>
      <c r="Q36" s="16">
        <v>8223857</v>
      </c>
      <c r="R36" s="9"/>
      <c r="S36" s="16">
        <v>414847</v>
      </c>
    </row>
    <row r="37" spans="1:19" s="2" customFormat="1" ht="12.75">
      <c r="A37" s="62" t="s">
        <v>35</v>
      </c>
      <c r="B37" s="18"/>
      <c r="C37" s="16">
        <v>6875750</v>
      </c>
      <c r="D37" s="16"/>
      <c r="E37" s="16">
        <v>11523437</v>
      </c>
      <c r="F37" s="16"/>
      <c r="G37" s="16">
        <v>0</v>
      </c>
      <c r="H37" s="16"/>
      <c r="I37" s="16">
        <v>4749063</v>
      </c>
      <c r="J37" s="16"/>
      <c r="K37" s="16">
        <v>3474749</v>
      </c>
      <c r="L37" s="16"/>
      <c r="M37" s="16">
        <v>0</v>
      </c>
      <c r="N37" s="14"/>
      <c r="O37" s="40">
        <f t="shared" si="1"/>
        <v>3124061</v>
      </c>
      <c r="P37" s="14"/>
      <c r="Q37" s="16">
        <v>29747060</v>
      </c>
      <c r="R37" s="9"/>
      <c r="S37" s="16">
        <v>0</v>
      </c>
    </row>
    <row r="38" spans="1:19" s="2" customFormat="1" ht="12.75">
      <c r="A38" s="62" t="s">
        <v>182</v>
      </c>
      <c r="B38" s="18"/>
      <c r="C38" s="16">
        <v>28911306</v>
      </c>
      <c r="D38" s="16"/>
      <c r="E38" s="16">
        <v>0</v>
      </c>
      <c r="F38" s="16"/>
      <c r="G38" s="16">
        <v>0</v>
      </c>
      <c r="H38" s="16"/>
      <c r="I38" s="16">
        <v>5461556</v>
      </c>
      <c r="J38" s="16"/>
      <c r="K38" s="16">
        <v>5238044</v>
      </c>
      <c r="L38" s="16"/>
      <c r="M38" s="16">
        <v>6306</v>
      </c>
      <c r="N38" s="14"/>
      <c r="O38" s="40">
        <f t="shared" si="1"/>
        <v>8231692</v>
      </c>
      <c r="P38" s="14"/>
      <c r="Q38" s="16">
        <v>47848904</v>
      </c>
      <c r="R38" s="9"/>
      <c r="S38" s="16">
        <f>11171+690000+21539</f>
        <v>722710</v>
      </c>
    </row>
    <row r="39" spans="1:19" s="2" customFormat="1" ht="12.75" hidden="1">
      <c r="A39" s="62" t="s">
        <v>244</v>
      </c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4"/>
      <c r="O39" s="40">
        <f t="shared" si="1"/>
        <v>0</v>
      </c>
      <c r="P39" s="14"/>
      <c r="Q39" s="16"/>
      <c r="R39" s="9"/>
      <c r="S39" s="16"/>
    </row>
    <row r="40" spans="1:19" s="2" customFormat="1" ht="12.75">
      <c r="A40" s="62" t="s">
        <v>37</v>
      </c>
      <c r="B40" s="18"/>
      <c r="C40" s="16">
        <v>42762000</v>
      </c>
      <c r="D40" s="16"/>
      <c r="E40" s="16">
        <v>67092000</v>
      </c>
      <c r="F40" s="16"/>
      <c r="G40" s="16">
        <v>24132000</v>
      </c>
      <c r="H40" s="16"/>
      <c r="I40" s="16">
        <v>52422000</v>
      </c>
      <c r="J40" s="16"/>
      <c r="K40" s="16">
        <v>20215000</v>
      </c>
      <c r="L40" s="16"/>
      <c r="M40" s="16"/>
      <c r="N40" s="14"/>
      <c r="O40" s="40">
        <f t="shared" si="1"/>
        <v>45036000</v>
      </c>
      <c r="P40" s="14"/>
      <c r="Q40" s="16">
        <v>251659000</v>
      </c>
      <c r="R40" s="9"/>
      <c r="S40" s="16">
        <v>851000</v>
      </c>
    </row>
    <row r="41" spans="1:19" s="2" customFormat="1" ht="12.75">
      <c r="A41" s="62" t="s">
        <v>38</v>
      </c>
      <c r="B41" s="18"/>
      <c r="C41" s="16">
        <v>1681787</v>
      </c>
      <c r="D41" s="16"/>
      <c r="E41" s="16">
        <v>5547061</v>
      </c>
      <c r="F41" s="16"/>
      <c r="G41" s="16">
        <v>0</v>
      </c>
      <c r="H41" s="16"/>
      <c r="I41" s="16">
        <v>4167125</v>
      </c>
      <c r="J41" s="16"/>
      <c r="K41" s="16">
        <v>2945138</v>
      </c>
      <c r="L41" s="16"/>
      <c r="M41" s="16">
        <v>0</v>
      </c>
      <c r="N41" s="14"/>
      <c r="O41" s="40">
        <f t="shared" si="1"/>
        <v>1766333</v>
      </c>
      <c r="P41" s="14"/>
      <c r="Q41" s="16">
        <v>16107444</v>
      </c>
      <c r="R41" s="9"/>
      <c r="S41" s="16">
        <v>40047</v>
      </c>
    </row>
    <row r="42" spans="1:19" s="2" customFormat="1" ht="12.75" hidden="1">
      <c r="A42" s="62" t="s">
        <v>168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4"/>
      <c r="O42" s="40">
        <f t="shared" si="1"/>
        <v>0</v>
      </c>
      <c r="P42" s="14"/>
      <c r="Q42" s="16"/>
      <c r="R42" s="9"/>
      <c r="S42" s="16"/>
    </row>
    <row r="43" spans="1:19" s="2" customFormat="1" ht="12.75" hidden="1">
      <c r="A43" s="62" t="s">
        <v>39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4"/>
      <c r="O43" s="40">
        <f t="shared" si="1"/>
        <v>0</v>
      </c>
      <c r="P43" s="14"/>
      <c r="Q43" s="16"/>
      <c r="R43" s="9"/>
      <c r="S43" s="16"/>
    </row>
    <row r="44" spans="1:19" s="2" customFormat="1" ht="12.75">
      <c r="A44" s="62" t="s">
        <v>40</v>
      </c>
      <c r="B44" s="18"/>
      <c r="C44" s="16">
        <v>2068455</v>
      </c>
      <c r="D44" s="16"/>
      <c r="E44" s="16">
        <v>3224182</v>
      </c>
      <c r="F44" s="16"/>
      <c r="G44" s="16">
        <v>0</v>
      </c>
      <c r="H44" s="16"/>
      <c r="I44" s="16">
        <v>851197</v>
      </c>
      <c r="J44" s="16"/>
      <c r="K44" s="16">
        <v>917330</v>
      </c>
      <c r="L44" s="16"/>
      <c r="M44" s="16">
        <v>0</v>
      </c>
      <c r="N44" s="14"/>
      <c r="O44" s="40">
        <f t="shared" si="1"/>
        <v>957564</v>
      </c>
      <c r="P44" s="14"/>
      <c r="Q44" s="16">
        <v>8018728</v>
      </c>
      <c r="R44" s="9"/>
      <c r="S44" s="16">
        <v>0</v>
      </c>
    </row>
    <row r="45" spans="1:19" s="2" customFormat="1" ht="12.75" hidden="1">
      <c r="A45" s="62" t="s">
        <v>41</v>
      </c>
      <c r="B45" s="18"/>
      <c r="C45" s="16">
        <v>0</v>
      </c>
      <c r="D45" s="16"/>
      <c r="E45" s="16">
        <v>0</v>
      </c>
      <c r="F45" s="16"/>
      <c r="G45" s="16">
        <v>0</v>
      </c>
      <c r="H45" s="16"/>
      <c r="I45" s="16">
        <v>0</v>
      </c>
      <c r="J45" s="16"/>
      <c r="K45" s="16">
        <v>0</v>
      </c>
      <c r="L45" s="16"/>
      <c r="M45" s="16">
        <v>0</v>
      </c>
      <c r="N45" s="14"/>
      <c r="O45" s="40">
        <f t="shared" si="1"/>
        <v>0</v>
      </c>
      <c r="P45" s="14"/>
      <c r="Q45" s="16">
        <v>0</v>
      </c>
      <c r="R45" s="9"/>
      <c r="S45" s="16">
        <v>0</v>
      </c>
    </row>
    <row r="46" spans="1:19" s="2" customFormat="1" ht="12.75">
      <c r="A46" s="62" t="s">
        <v>42</v>
      </c>
      <c r="B46" s="18"/>
      <c r="C46" s="16">
        <v>4106140</v>
      </c>
      <c r="D46" s="16"/>
      <c r="E46" s="16">
        <v>0</v>
      </c>
      <c r="F46" s="16"/>
      <c r="G46" s="16">
        <v>0</v>
      </c>
      <c r="H46" s="16"/>
      <c r="I46" s="16">
        <v>1058367</v>
      </c>
      <c r="J46" s="16"/>
      <c r="K46" s="16">
        <v>718614</v>
      </c>
      <c r="L46" s="16"/>
      <c r="M46" s="16">
        <v>0</v>
      </c>
      <c r="N46" s="14"/>
      <c r="O46" s="40">
        <f t="shared" si="1"/>
        <v>980814</v>
      </c>
      <c r="P46" s="14"/>
      <c r="Q46" s="16">
        <v>6863935</v>
      </c>
      <c r="R46" s="9"/>
      <c r="S46" s="16">
        <v>39490</v>
      </c>
    </row>
    <row r="47" spans="1:19" s="2" customFormat="1" ht="12.75">
      <c r="A47" s="62" t="s">
        <v>43</v>
      </c>
      <c r="B47" s="18"/>
      <c r="C47" s="16">
        <v>2208284</v>
      </c>
      <c r="D47" s="16"/>
      <c r="E47" s="16">
        <v>3783834</v>
      </c>
      <c r="F47" s="16"/>
      <c r="G47" s="16">
        <v>0</v>
      </c>
      <c r="H47" s="16"/>
      <c r="I47" s="16">
        <v>1800728</v>
      </c>
      <c r="J47" s="16"/>
      <c r="K47" s="16">
        <v>1142925</v>
      </c>
      <c r="L47" s="16"/>
      <c r="M47" s="16">
        <v>0</v>
      </c>
      <c r="N47" s="14"/>
      <c r="O47" s="40">
        <f t="shared" si="1"/>
        <v>1118943</v>
      </c>
      <c r="P47" s="14"/>
      <c r="Q47" s="16">
        <v>10054714</v>
      </c>
      <c r="R47" s="9"/>
      <c r="S47" s="16">
        <v>0</v>
      </c>
    </row>
    <row r="48" spans="1:19" s="2" customFormat="1" ht="12.75">
      <c r="A48" s="62" t="s">
        <v>44</v>
      </c>
      <c r="B48" s="18"/>
      <c r="C48" s="16">
        <v>10334326</v>
      </c>
      <c r="D48" s="16"/>
      <c r="E48" s="16">
        <v>0</v>
      </c>
      <c r="F48" s="16"/>
      <c r="G48" s="16">
        <v>0</v>
      </c>
      <c r="H48" s="16"/>
      <c r="I48" s="16">
        <v>1164123</v>
      </c>
      <c r="J48" s="16"/>
      <c r="K48" s="16">
        <v>1472711</v>
      </c>
      <c r="L48" s="16"/>
      <c r="M48" s="16">
        <v>0</v>
      </c>
      <c r="N48" s="14"/>
      <c r="O48" s="40">
        <f t="shared" si="1"/>
        <v>1427446</v>
      </c>
      <c r="P48" s="14"/>
      <c r="Q48" s="16">
        <v>14398606</v>
      </c>
      <c r="R48" s="9"/>
      <c r="S48" s="16">
        <f>2150</f>
        <v>2150</v>
      </c>
    </row>
    <row r="49" spans="1:19" s="2" customFormat="1" ht="12.75" hidden="1">
      <c r="A49" s="62" t="s">
        <v>241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4"/>
      <c r="O49" s="40">
        <f t="shared" si="1"/>
        <v>0</v>
      </c>
      <c r="P49" s="14"/>
      <c r="Q49" s="16"/>
      <c r="R49" s="9"/>
      <c r="S49" s="16"/>
    </row>
    <row r="50" spans="1:19" s="2" customFormat="1" ht="12.75">
      <c r="A50" s="62" t="s">
        <v>46</v>
      </c>
      <c r="B50" s="18"/>
      <c r="C50" s="16">
        <v>1985487</v>
      </c>
      <c r="D50" s="16"/>
      <c r="E50" s="16">
        <v>4751827</v>
      </c>
      <c r="F50" s="16"/>
      <c r="G50" s="16">
        <v>0</v>
      </c>
      <c r="H50" s="16"/>
      <c r="I50" s="16">
        <v>2491572</v>
      </c>
      <c r="J50" s="16"/>
      <c r="K50" s="16">
        <v>2733233</v>
      </c>
      <c r="L50" s="16"/>
      <c r="M50" s="16">
        <v>0</v>
      </c>
      <c r="N50" s="14"/>
      <c r="O50" s="40">
        <f t="shared" si="1"/>
        <v>1478893</v>
      </c>
      <c r="P50" s="14"/>
      <c r="Q50" s="16">
        <v>13441012</v>
      </c>
      <c r="R50" s="9"/>
      <c r="S50" s="16">
        <f>144842+413606+11741+765846</f>
        <v>1336035</v>
      </c>
    </row>
    <row r="51" spans="1:19" s="2" customFormat="1" ht="12.75">
      <c r="A51" s="62" t="s">
        <v>47</v>
      </c>
      <c r="B51" s="18"/>
      <c r="C51" s="16">
        <v>7858436</v>
      </c>
      <c r="D51" s="16"/>
      <c r="E51" s="16">
        <v>0</v>
      </c>
      <c r="F51" s="16"/>
      <c r="G51" s="16">
        <v>0</v>
      </c>
      <c r="H51" s="16"/>
      <c r="I51" s="16">
        <v>1700644</v>
      </c>
      <c r="J51" s="16"/>
      <c r="K51" s="16">
        <v>1926952</v>
      </c>
      <c r="L51" s="16"/>
      <c r="M51" s="16">
        <v>0</v>
      </c>
      <c r="N51" s="14"/>
      <c r="O51" s="40">
        <f t="shared" si="1"/>
        <v>2002456</v>
      </c>
      <c r="P51" s="14"/>
      <c r="Q51" s="16">
        <v>13488488</v>
      </c>
      <c r="R51" s="9"/>
      <c r="S51" s="16">
        <f>157176</f>
        <v>157176</v>
      </c>
    </row>
    <row r="52" spans="1:19" s="2" customFormat="1" ht="12.75">
      <c r="A52" s="62" t="s">
        <v>48</v>
      </c>
      <c r="B52" s="18"/>
      <c r="C52" s="16">
        <v>13276834</v>
      </c>
      <c r="D52" s="16"/>
      <c r="E52" s="16">
        <v>15841912</v>
      </c>
      <c r="F52" s="16"/>
      <c r="G52" s="16">
        <v>3481942</v>
      </c>
      <c r="H52" s="16"/>
      <c r="I52" s="16">
        <v>6072237</v>
      </c>
      <c r="J52" s="16"/>
      <c r="K52" s="16">
        <v>5494423</v>
      </c>
      <c r="L52" s="16"/>
      <c r="M52" s="16">
        <v>0</v>
      </c>
      <c r="N52" s="14"/>
      <c r="O52" s="40">
        <f t="shared" si="1"/>
        <v>13146664</v>
      </c>
      <c r="P52" s="14"/>
      <c r="Q52" s="16">
        <v>57314012</v>
      </c>
      <c r="R52" s="9"/>
      <c r="S52" s="16">
        <v>530212</v>
      </c>
    </row>
    <row r="53" spans="1:19" s="2" customFormat="1" ht="12.75" hidden="1">
      <c r="A53" s="62" t="s">
        <v>170</v>
      </c>
      <c r="B53" s="18"/>
      <c r="C53" s="16">
        <v>0</v>
      </c>
      <c r="D53" s="16"/>
      <c r="E53" s="16">
        <v>0</v>
      </c>
      <c r="F53" s="16"/>
      <c r="G53" s="16">
        <v>0</v>
      </c>
      <c r="H53" s="16"/>
      <c r="I53" s="16">
        <v>0</v>
      </c>
      <c r="J53" s="16"/>
      <c r="K53" s="16">
        <v>0</v>
      </c>
      <c r="L53" s="16"/>
      <c r="M53" s="16">
        <v>0</v>
      </c>
      <c r="N53" s="14"/>
      <c r="O53" s="40">
        <f t="shared" si="1"/>
        <v>0</v>
      </c>
      <c r="P53" s="14"/>
      <c r="Q53" s="16">
        <v>0</v>
      </c>
      <c r="R53" s="9"/>
      <c r="S53" s="16">
        <v>0</v>
      </c>
    </row>
    <row r="54" spans="1:19" s="2" customFormat="1" ht="12.75">
      <c r="A54" s="62" t="s">
        <v>49</v>
      </c>
      <c r="B54" s="18"/>
      <c r="C54" s="16">
        <v>31976155</v>
      </c>
      <c r="D54" s="16"/>
      <c r="E54" s="16">
        <v>0</v>
      </c>
      <c r="F54" s="16"/>
      <c r="G54" s="16">
        <v>0</v>
      </c>
      <c r="H54" s="16"/>
      <c r="I54" s="16">
        <v>4281129</v>
      </c>
      <c r="J54" s="16"/>
      <c r="K54" s="16">
        <v>4963496</v>
      </c>
      <c r="L54" s="16"/>
      <c r="M54" s="16">
        <v>0</v>
      </c>
      <c r="N54" s="14"/>
      <c r="O54" s="40">
        <f t="shared" si="1"/>
        <v>5415985</v>
      </c>
      <c r="P54" s="14"/>
      <c r="Q54" s="16">
        <v>46636765</v>
      </c>
      <c r="R54" s="9"/>
      <c r="S54" s="16">
        <f>53509+38148</f>
        <v>91657</v>
      </c>
    </row>
    <row r="55" spans="1:19" s="2" customFormat="1" ht="12.75">
      <c r="A55" s="62" t="s">
        <v>50</v>
      </c>
      <c r="B55" s="18"/>
      <c r="C55" s="16">
        <v>10217843</v>
      </c>
      <c r="D55" s="16"/>
      <c r="E55" s="16">
        <v>0</v>
      </c>
      <c r="F55" s="16"/>
      <c r="G55" s="16">
        <v>0</v>
      </c>
      <c r="H55" s="16"/>
      <c r="I55" s="16">
        <v>2570011</v>
      </c>
      <c r="J55" s="16"/>
      <c r="K55" s="16">
        <v>1627731</v>
      </c>
      <c r="L55" s="16"/>
      <c r="M55" s="16">
        <v>0</v>
      </c>
      <c r="N55" s="14"/>
      <c r="O55" s="40">
        <f t="shared" si="1"/>
        <v>2065727</v>
      </c>
      <c r="P55" s="14"/>
      <c r="Q55" s="16">
        <v>16481312</v>
      </c>
      <c r="R55" s="9"/>
      <c r="S55" s="16">
        <f>125000+1200</f>
        <v>126200</v>
      </c>
    </row>
    <row r="56" spans="1:19" s="2" customFormat="1" ht="12.75">
      <c r="A56" s="62" t="s">
        <v>246</v>
      </c>
      <c r="B56" s="18"/>
      <c r="C56" s="16">
        <v>9443142</v>
      </c>
      <c r="D56" s="16"/>
      <c r="E56" s="16">
        <v>15842835</v>
      </c>
      <c r="F56" s="16"/>
      <c r="G56" s="16">
        <v>0</v>
      </c>
      <c r="H56" s="16"/>
      <c r="I56" s="16">
        <v>2073173</v>
      </c>
      <c r="J56" s="16"/>
      <c r="K56" s="16">
        <v>7553121</v>
      </c>
      <c r="L56" s="16"/>
      <c r="M56" s="16">
        <v>0</v>
      </c>
      <c r="N56" s="14"/>
      <c r="O56" s="40">
        <f t="shared" si="1"/>
        <v>22012368</v>
      </c>
      <c r="P56" s="14"/>
      <c r="Q56" s="16">
        <v>56924639</v>
      </c>
      <c r="R56" s="9"/>
      <c r="S56" s="16">
        <v>40286</v>
      </c>
    </row>
    <row r="57" spans="1:19" s="2" customFormat="1" ht="12.75">
      <c r="A57" s="62" t="s">
        <v>183</v>
      </c>
      <c r="B57" s="18"/>
      <c r="C57" s="16">
        <v>17119031</v>
      </c>
      <c r="D57" s="16"/>
      <c r="E57" s="16">
        <v>71376914</v>
      </c>
      <c r="F57" s="16"/>
      <c r="G57" s="16">
        <v>0</v>
      </c>
      <c r="H57" s="16"/>
      <c r="I57" s="16">
        <v>16670438</v>
      </c>
      <c r="J57" s="16"/>
      <c r="K57" s="16">
        <v>21301556</v>
      </c>
      <c r="L57" s="16"/>
      <c r="M57" s="16">
        <v>28747</v>
      </c>
      <c r="N57" s="14"/>
      <c r="O57" s="40">
        <f t="shared" si="1"/>
        <v>22573228</v>
      </c>
      <c r="P57" s="14"/>
      <c r="Q57" s="16">
        <v>149069914</v>
      </c>
      <c r="R57" s="9"/>
      <c r="S57" s="16">
        <v>0</v>
      </c>
    </row>
    <row r="58" spans="1:19" s="34" customFormat="1" ht="12.75" hidden="1">
      <c r="A58" s="62" t="s">
        <v>52</v>
      </c>
      <c r="B58" s="62"/>
      <c r="C58" s="16">
        <v>0</v>
      </c>
      <c r="D58" s="16"/>
      <c r="E58" s="16">
        <v>0</v>
      </c>
      <c r="F58" s="16"/>
      <c r="G58" s="16">
        <v>0</v>
      </c>
      <c r="H58" s="16"/>
      <c r="I58" s="16">
        <v>0</v>
      </c>
      <c r="J58" s="16"/>
      <c r="K58" s="16">
        <v>0</v>
      </c>
      <c r="L58" s="16"/>
      <c r="M58" s="16">
        <v>0</v>
      </c>
      <c r="N58" s="40"/>
      <c r="O58" s="40">
        <f t="shared" si="1"/>
        <v>0</v>
      </c>
      <c r="P58" s="40"/>
      <c r="Q58" s="16">
        <v>0</v>
      </c>
      <c r="R58" s="23"/>
      <c r="S58" s="16">
        <v>0</v>
      </c>
    </row>
    <row r="59" spans="1:19" s="34" customFormat="1" ht="12.75">
      <c r="A59" s="62" t="s">
        <v>53</v>
      </c>
      <c r="B59" s="62"/>
      <c r="C59" s="16">
        <v>7890155</v>
      </c>
      <c r="D59" s="16"/>
      <c r="E59" s="16">
        <v>28431266</v>
      </c>
      <c r="F59" s="16"/>
      <c r="G59" s="16">
        <v>0</v>
      </c>
      <c r="H59" s="16"/>
      <c r="I59" s="16">
        <v>1764087</v>
      </c>
      <c r="J59" s="16"/>
      <c r="K59" s="16">
        <v>8420696</v>
      </c>
      <c r="L59" s="16"/>
      <c r="M59" s="16">
        <v>0</v>
      </c>
      <c r="N59" s="40"/>
      <c r="O59" s="40">
        <f t="shared" si="1"/>
        <v>16621839</v>
      </c>
      <c r="P59" s="40"/>
      <c r="Q59" s="16">
        <v>63128043</v>
      </c>
      <c r="R59" s="23"/>
      <c r="S59" s="16">
        <v>223141</v>
      </c>
    </row>
    <row r="60" spans="1:19" s="34" customFormat="1" ht="12.75">
      <c r="A60" s="62" t="s">
        <v>54</v>
      </c>
      <c r="B60" s="62"/>
      <c r="C60" s="16">
        <v>2201549</v>
      </c>
      <c r="D60" s="16"/>
      <c r="E60" s="16">
        <v>7276501</v>
      </c>
      <c r="F60" s="16"/>
      <c r="G60" s="16">
        <v>0</v>
      </c>
      <c r="H60" s="16"/>
      <c r="I60" s="16">
        <v>3539063</v>
      </c>
      <c r="J60" s="16"/>
      <c r="K60" s="16">
        <v>2030363</v>
      </c>
      <c r="L60" s="16"/>
      <c r="M60" s="16">
        <v>0</v>
      </c>
      <c r="N60" s="40"/>
      <c r="O60" s="40">
        <f t="shared" si="1"/>
        <v>2476776</v>
      </c>
      <c r="P60" s="40"/>
      <c r="Q60" s="16">
        <v>17524252</v>
      </c>
      <c r="R60" s="23"/>
      <c r="S60" s="16">
        <f>2608+45185</f>
        <v>47793</v>
      </c>
    </row>
    <row r="61" spans="1:19" s="2" customFormat="1" ht="12.75">
      <c r="A61" s="62" t="s">
        <v>55</v>
      </c>
      <c r="B61" s="18"/>
      <c r="C61" s="16">
        <v>10771933</v>
      </c>
      <c r="D61" s="16"/>
      <c r="E61" s="16">
        <v>9952476</v>
      </c>
      <c r="F61" s="16"/>
      <c r="G61" s="16">
        <v>823231</v>
      </c>
      <c r="H61" s="16"/>
      <c r="I61" s="16">
        <v>8231639</v>
      </c>
      <c r="J61" s="16"/>
      <c r="K61" s="16">
        <v>4453922</v>
      </c>
      <c r="L61" s="16"/>
      <c r="M61" s="16">
        <v>0</v>
      </c>
      <c r="N61" s="14"/>
      <c r="O61" s="40">
        <f t="shared" si="1"/>
        <v>8690518</v>
      </c>
      <c r="P61" s="14"/>
      <c r="Q61" s="16">
        <v>42923719</v>
      </c>
      <c r="R61" s="9"/>
      <c r="S61" s="16">
        <f>21733+132</f>
        <v>21865</v>
      </c>
    </row>
    <row r="62" spans="1:19" s="2" customFormat="1" ht="12.75" hidden="1">
      <c r="A62" s="62" t="s">
        <v>171</v>
      </c>
      <c r="B62" s="18"/>
      <c r="C62" s="16">
        <v>0</v>
      </c>
      <c r="D62" s="16"/>
      <c r="E62" s="16">
        <v>0</v>
      </c>
      <c r="F62" s="16"/>
      <c r="G62" s="16">
        <v>0</v>
      </c>
      <c r="H62" s="16"/>
      <c r="I62" s="16">
        <v>0</v>
      </c>
      <c r="J62" s="16"/>
      <c r="K62" s="16">
        <v>0</v>
      </c>
      <c r="L62" s="16"/>
      <c r="M62" s="16">
        <v>0</v>
      </c>
      <c r="N62" s="14"/>
      <c r="O62" s="40">
        <f t="shared" si="1"/>
        <v>0</v>
      </c>
      <c r="P62" s="14"/>
      <c r="Q62" s="16">
        <v>0</v>
      </c>
      <c r="R62" s="9"/>
      <c r="S62" s="16">
        <v>0</v>
      </c>
    </row>
    <row r="63" spans="1:19" s="2" customFormat="1" ht="12.75" hidden="1">
      <c r="A63" s="62" t="s">
        <v>56</v>
      </c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4"/>
      <c r="O63" s="40">
        <f t="shared" si="1"/>
        <v>0</v>
      </c>
      <c r="P63" s="14"/>
      <c r="Q63" s="16"/>
      <c r="R63" s="9"/>
      <c r="S63" s="16"/>
    </row>
    <row r="64" spans="1:19" s="2" customFormat="1" ht="12.75">
      <c r="A64" s="62" t="s">
        <v>57</v>
      </c>
      <c r="B64" s="18"/>
      <c r="C64" s="16">
        <v>12896914</v>
      </c>
      <c r="D64" s="16"/>
      <c r="E64" s="16">
        <v>0</v>
      </c>
      <c r="F64" s="16"/>
      <c r="G64" s="16">
        <v>0</v>
      </c>
      <c r="H64" s="16"/>
      <c r="I64" s="16">
        <v>4184442</v>
      </c>
      <c r="J64" s="16"/>
      <c r="K64" s="16">
        <v>2808651</v>
      </c>
      <c r="L64" s="16"/>
      <c r="M64" s="16">
        <v>0</v>
      </c>
      <c r="N64" s="14"/>
      <c r="O64" s="40">
        <f t="shared" si="1"/>
        <v>5964471</v>
      </c>
      <c r="P64" s="14"/>
      <c r="Q64" s="16">
        <v>25854478</v>
      </c>
      <c r="R64" s="9"/>
      <c r="S64" s="16">
        <v>316000</v>
      </c>
    </row>
    <row r="65" spans="1:19" s="2" customFormat="1" ht="12.75">
      <c r="A65" s="62" t="s">
        <v>58</v>
      </c>
      <c r="B65" s="18"/>
      <c r="C65" s="16">
        <v>790540</v>
      </c>
      <c r="D65" s="16"/>
      <c r="E65" s="16">
        <v>1358363</v>
      </c>
      <c r="F65" s="16"/>
      <c r="G65" s="16">
        <v>0</v>
      </c>
      <c r="H65" s="16"/>
      <c r="I65" s="16">
        <v>748040</v>
      </c>
      <c r="J65" s="16"/>
      <c r="K65" s="16">
        <v>509116</v>
      </c>
      <c r="L65" s="16"/>
      <c r="M65" s="16">
        <v>0</v>
      </c>
      <c r="N65" s="14"/>
      <c r="O65" s="40">
        <f t="shared" si="1"/>
        <v>381270</v>
      </c>
      <c r="P65" s="14"/>
      <c r="Q65" s="16">
        <v>3787329</v>
      </c>
      <c r="R65" s="9"/>
      <c r="S65" s="16">
        <v>0</v>
      </c>
    </row>
    <row r="66" spans="1:19" s="2" customFormat="1" ht="12.75">
      <c r="A66" s="62" t="s">
        <v>59</v>
      </c>
      <c r="B66" s="18"/>
      <c r="C66" s="16">
        <v>16057632</v>
      </c>
      <c r="D66" s="16"/>
      <c r="E66" s="16">
        <v>64377557</v>
      </c>
      <c r="F66" s="16"/>
      <c r="G66" s="16">
        <v>2444347</v>
      </c>
      <c r="H66" s="16"/>
      <c r="I66" s="16">
        <v>19789133</v>
      </c>
      <c r="J66" s="16"/>
      <c r="K66" s="16">
        <v>22234786</v>
      </c>
      <c r="L66" s="16"/>
      <c r="M66" s="16">
        <v>0</v>
      </c>
      <c r="N66" s="14"/>
      <c r="O66" s="40">
        <f t="shared" si="1"/>
        <v>32503644</v>
      </c>
      <c r="P66" s="14"/>
      <c r="Q66" s="16">
        <v>157407099</v>
      </c>
      <c r="R66" s="9"/>
      <c r="S66" s="16">
        <f>50263+31721+2717997</f>
        <v>2799981</v>
      </c>
    </row>
    <row r="67" spans="1:19" s="2" customFormat="1" ht="12.75" hidden="1">
      <c r="A67" s="62" t="s">
        <v>60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4"/>
      <c r="O67" s="40">
        <f t="shared" si="1"/>
        <v>0</v>
      </c>
      <c r="P67" s="14"/>
      <c r="Q67" s="16"/>
      <c r="R67" s="9"/>
      <c r="S67" s="16"/>
    </row>
    <row r="68" spans="1:19" s="2" customFormat="1" ht="12.75">
      <c r="A68" s="62" t="s">
        <v>97</v>
      </c>
      <c r="B68" s="18"/>
      <c r="C68" s="16">
        <v>2374362</v>
      </c>
      <c r="D68" s="16"/>
      <c r="E68" s="16">
        <v>2789890</v>
      </c>
      <c r="F68" s="16"/>
      <c r="G68" s="16">
        <v>0</v>
      </c>
      <c r="H68" s="16"/>
      <c r="I68" s="16">
        <v>1247020</v>
      </c>
      <c r="J68" s="16"/>
      <c r="K68" s="16">
        <v>744878</v>
      </c>
      <c r="L68" s="16"/>
      <c r="M68" s="16">
        <v>0</v>
      </c>
      <c r="N68" s="14"/>
      <c r="O68" s="40">
        <f t="shared" si="1"/>
        <v>1509990</v>
      </c>
      <c r="P68" s="14"/>
      <c r="Q68" s="16">
        <v>8666140</v>
      </c>
      <c r="R68" s="9"/>
      <c r="S68" s="16">
        <f>17822+38969</f>
        <v>56791</v>
      </c>
    </row>
    <row r="69" spans="1:19" s="2" customFormat="1" ht="12.75">
      <c r="A69" s="62" t="s">
        <v>61</v>
      </c>
      <c r="B69" s="18"/>
      <c r="C69" s="16">
        <v>2932022</v>
      </c>
      <c r="D69" s="16"/>
      <c r="E69" s="16">
        <v>14638691</v>
      </c>
      <c r="F69" s="16"/>
      <c r="G69" s="16">
        <v>0</v>
      </c>
      <c r="H69" s="16"/>
      <c r="I69" s="16">
        <v>4720959</v>
      </c>
      <c r="J69" s="16"/>
      <c r="K69" s="16">
        <v>2273056</v>
      </c>
      <c r="L69" s="16"/>
      <c r="M69" s="16">
        <v>0</v>
      </c>
      <c r="N69" s="14"/>
      <c r="O69" s="40">
        <f>Q69-C69-E69-G69-I69-K69-M69</f>
        <v>4304730</v>
      </c>
      <c r="P69" s="14"/>
      <c r="Q69" s="16">
        <v>28869458</v>
      </c>
      <c r="R69" s="9"/>
      <c r="S69" s="16">
        <f>99039+10337+169083</f>
        <v>278459</v>
      </c>
    </row>
    <row r="70" spans="1:19" s="2" customFormat="1" ht="12.75">
      <c r="A70" s="62" t="s">
        <v>62</v>
      </c>
      <c r="B70" s="18"/>
      <c r="C70" s="16">
        <v>595915</v>
      </c>
      <c r="D70" s="16"/>
      <c r="E70" s="16">
        <v>1056970</v>
      </c>
      <c r="F70" s="16"/>
      <c r="G70" s="16">
        <v>0</v>
      </c>
      <c r="H70" s="16"/>
      <c r="I70" s="16">
        <v>622053</v>
      </c>
      <c r="J70" s="16"/>
      <c r="K70" s="16">
        <v>368378</v>
      </c>
      <c r="L70" s="16"/>
      <c r="M70" s="16">
        <v>0</v>
      </c>
      <c r="N70" s="14"/>
      <c r="O70" s="40">
        <f>Q70-C70-E70-G70-I70-K70-M70</f>
        <v>430254</v>
      </c>
      <c r="P70" s="14"/>
      <c r="Q70" s="16">
        <v>3073570</v>
      </c>
      <c r="R70" s="9"/>
      <c r="S70" s="16">
        <v>0</v>
      </c>
    </row>
    <row r="71" spans="1:19" s="2" customFormat="1" ht="12.75">
      <c r="A71" s="62" t="s">
        <v>63</v>
      </c>
      <c r="B71" s="18"/>
      <c r="C71" s="16">
        <v>3258396</v>
      </c>
      <c r="D71" s="16"/>
      <c r="E71" s="16">
        <v>4823619</v>
      </c>
      <c r="F71" s="16"/>
      <c r="G71" s="16">
        <v>0</v>
      </c>
      <c r="H71" s="16"/>
      <c r="I71" s="16">
        <v>1877298</v>
      </c>
      <c r="J71" s="16"/>
      <c r="K71" s="16">
        <v>1347141</v>
      </c>
      <c r="L71" s="16"/>
      <c r="M71" s="16">
        <v>0</v>
      </c>
      <c r="N71" s="14"/>
      <c r="O71" s="40">
        <f t="shared" si="1"/>
        <v>4102167</v>
      </c>
      <c r="P71" s="14"/>
      <c r="Q71" s="16">
        <v>15408621</v>
      </c>
      <c r="R71" s="9"/>
      <c r="S71" s="16">
        <v>246161</v>
      </c>
    </row>
    <row r="72" spans="1:19" s="2" customFormat="1" ht="12.75" hidden="1">
      <c r="A72" s="62" t="s">
        <v>132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4"/>
      <c r="O72" s="40">
        <f t="shared" si="1"/>
        <v>0</v>
      </c>
      <c r="P72" s="14"/>
      <c r="Q72" s="16"/>
      <c r="R72" s="9"/>
      <c r="S72" s="16"/>
    </row>
    <row r="73" spans="1:19" s="2" customFormat="1" ht="12.75" hidden="1">
      <c r="A73" s="62" t="s">
        <v>64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4"/>
      <c r="O73" s="40">
        <f t="shared" si="1"/>
        <v>0</v>
      </c>
      <c r="P73" s="14"/>
      <c r="Q73" s="16"/>
      <c r="R73" s="9"/>
      <c r="S73" s="16"/>
    </row>
    <row r="74" spans="1:19" s="2" customFormat="1" ht="12.75">
      <c r="A74" s="62"/>
      <c r="B74" s="1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4"/>
      <c r="O74" s="40"/>
      <c r="P74" s="14"/>
      <c r="Q74" s="16"/>
      <c r="R74" s="9"/>
      <c r="S74" s="16"/>
    </row>
    <row r="75" spans="1:19" s="34" customFormat="1" ht="12.75">
      <c r="A75" s="62"/>
      <c r="B75" s="62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40"/>
      <c r="O75" s="40"/>
      <c r="P75" s="40"/>
      <c r="Q75" s="16" t="s">
        <v>253</v>
      </c>
      <c r="R75" s="23"/>
      <c r="S75" s="16"/>
    </row>
    <row r="76" spans="1:19" s="2" customFormat="1" ht="12.75">
      <c r="A76" s="62" t="s">
        <v>65</v>
      </c>
      <c r="B76" s="18"/>
      <c r="C76" s="46">
        <v>2684000</v>
      </c>
      <c r="D76" s="46"/>
      <c r="E76" s="46">
        <v>4131434</v>
      </c>
      <c r="F76" s="46"/>
      <c r="G76" s="46">
        <v>0</v>
      </c>
      <c r="H76" s="46"/>
      <c r="I76" s="46">
        <v>2157116</v>
      </c>
      <c r="J76" s="46"/>
      <c r="K76" s="46">
        <v>1301966</v>
      </c>
      <c r="L76" s="46"/>
      <c r="M76" s="46">
        <v>0</v>
      </c>
      <c r="N76" s="45"/>
      <c r="O76" s="61">
        <f t="shared" si="1"/>
        <v>1577526</v>
      </c>
      <c r="P76" s="45"/>
      <c r="Q76" s="46">
        <v>11852042</v>
      </c>
      <c r="R76" s="9"/>
      <c r="S76" s="46">
        <v>0</v>
      </c>
    </row>
    <row r="77" spans="1:19" s="2" customFormat="1" ht="12.75">
      <c r="A77" s="62" t="s">
        <v>66</v>
      </c>
      <c r="B77" s="18"/>
      <c r="C77" s="16">
        <v>5475585</v>
      </c>
      <c r="D77" s="16"/>
      <c r="E77" s="16">
        <v>0</v>
      </c>
      <c r="F77" s="16"/>
      <c r="G77" s="16">
        <v>0</v>
      </c>
      <c r="H77" s="16"/>
      <c r="I77" s="16">
        <v>714527</v>
      </c>
      <c r="J77" s="16"/>
      <c r="K77" s="16">
        <v>485528</v>
      </c>
      <c r="L77" s="16"/>
      <c r="M77" s="16">
        <v>0</v>
      </c>
      <c r="N77" s="14"/>
      <c r="O77" s="40">
        <f t="shared" si="1"/>
        <v>1374117</v>
      </c>
      <c r="P77" s="14"/>
      <c r="Q77" s="16">
        <v>8049757</v>
      </c>
      <c r="R77" s="9"/>
      <c r="S77" s="16">
        <v>8500</v>
      </c>
    </row>
    <row r="78" spans="1:19" s="2" customFormat="1" ht="12.75">
      <c r="A78" s="62" t="s">
        <v>67</v>
      </c>
      <c r="B78" s="18"/>
      <c r="C78" s="16">
        <v>4857242</v>
      </c>
      <c r="D78" s="16"/>
      <c r="E78" s="16">
        <v>14884819</v>
      </c>
      <c r="F78" s="16"/>
      <c r="G78" s="16">
        <v>0</v>
      </c>
      <c r="H78" s="16"/>
      <c r="I78" s="16">
        <v>7852032</v>
      </c>
      <c r="J78" s="16"/>
      <c r="K78" s="16">
        <v>4202771</v>
      </c>
      <c r="L78" s="16"/>
      <c r="M78" s="16">
        <v>0</v>
      </c>
      <c r="N78" s="14"/>
      <c r="O78" s="40">
        <f t="shared" si="1"/>
        <v>8902491</v>
      </c>
      <c r="P78" s="14"/>
      <c r="Q78" s="16">
        <v>40699355</v>
      </c>
      <c r="R78" s="9"/>
      <c r="S78" s="16">
        <v>0</v>
      </c>
    </row>
    <row r="79" spans="1:19" s="2" customFormat="1" ht="12.75">
      <c r="A79" s="62" t="s">
        <v>68</v>
      </c>
      <c r="B79" s="18"/>
      <c r="C79" s="16">
        <v>1917031</v>
      </c>
      <c r="D79" s="16"/>
      <c r="E79" s="16">
        <v>4383637</v>
      </c>
      <c r="F79" s="16"/>
      <c r="G79" s="16">
        <v>0</v>
      </c>
      <c r="H79" s="16"/>
      <c r="I79" s="16">
        <v>1531597</v>
      </c>
      <c r="J79" s="16"/>
      <c r="K79" s="16">
        <v>1164605</v>
      </c>
      <c r="L79" s="16"/>
      <c r="M79" s="16">
        <v>0</v>
      </c>
      <c r="N79" s="14"/>
      <c r="O79" s="40">
        <f t="shared" si="1"/>
        <v>1328278</v>
      </c>
      <c r="P79" s="14"/>
      <c r="Q79" s="16">
        <v>10325148</v>
      </c>
      <c r="R79" s="9"/>
      <c r="S79" s="16">
        <v>0</v>
      </c>
    </row>
    <row r="80" spans="1:19" s="2" customFormat="1" ht="12.75" hidden="1">
      <c r="A80" s="62" t="s">
        <v>176</v>
      </c>
      <c r="B80" s="18"/>
      <c r="C80" s="16">
        <v>0</v>
      </c>
      <c r="D80" s="16"/>
      <c r="E80" s="16">
        <v>0</v>
      </c>
      <c r="F80" s="16"/>
      <c r="G80" s="16">
        <v>0</v>
      </c>
      <c r="H80" s="16"/>
      <c r="I80" s="16">
        <v>0</v>
      </c>
      <c r="J80" s="16"/>
      <c r="K80" s="16">
        <v>0</v>
      </c>
      <c r="L80" s="16"/>
      <c r="M80" s="16">
        <v>0</v>
      </c>
      <c r="N80" s="14"/>
      <c r="O80" s="40">
        <f t="shared" si="1"/>
        <v>0</v>
      </c>
      <c r="P80" s="14"/>
      <c r="Q80" s="16">
        <v>0</v>
      </c>
      <c r="R80" s="9"/>
      <c r="S80" s="16">
        <v>0</v>
      </c>
    </row>
    <row r="81" spans="1:19" s="2" customFormat="1" ht="12.75">
      <c r="A81" s="62" t="s">
        <v>178</v>
      </c>
      <c r="B81" s="18"/>
      <c r="C81" s="16">
        <v>4485834</v>
      </c>
      <c r="D81" s="16"/>
      <c r="E81" s="16">
        <v>14584095</v>
      </c>
      <c r="F81" s="16"/>
      <c r="G81" s="16">
        <v>0</v>
      </c>
      <c r="H81" s="16"/>
      <c r="I81" s="16">
        <v>2904360</v>
      </c>
      <c r="J81" s="16"/>
      <c r="K81" s="16">
        <v>4185506</v>
      </c>
      <c r="L81" s="16"/>
      <c r="M81" s="16">
        <v>0</v>
      </c>
      <c r="N81" s="14"/>
      <c r="O81" s="40">
        <f t="shared" si="1"/>
        <v>4519489</v>
      </c>
      <c r="P81" s="14"/>
      <c r="Q81" s="16">
        <v>30679284</v>
      </c>
      <c r="R81" s="9"/>
      <c r="S81" s="16">
        <f>34812+536900</f>
        <v>571712</v>
      </c>
    </row>
    <row r="82" spans="1:19" s="2" customFormat="1" ht="12.75">
      <c r="A82" s="62" t="s">
        <v>69</v>
      </c>
      <c r="B82" s="18"/>
      <c r="C82" s="16">
        <v>1967668</v>
      </c>
      <c r="D82" s="16"/>
      <c r="E82" s="16">
        <v>11221082</v>
      </c>
      <c r="F82" s="16"/>
      <c r="G82" s="16">
        <v>0</v>
      </c>
      <c r="H82" s="16"/>
      <c r="I82" s="16">
        <v>1681090</v>
      </c>
      <c r="J82" s="16"/>
      <c r="K82" s="16">
        <v>2099374</v>
      </c>
      <c r="L82" s="16"/>
      <c r="M82" s="16">
        <v>0</v>
      </c>
      <c r="N82" s="14"/>
      <c r="O82" s="40">
        <f t="shared" si="1"/>
        <v>2079021</v>
      </c>
      <c r="P82" s="14"/>
      <c r="Q82" s="16">
        <v>19048235</v>
      </c>
      <c r="R82" s="9"/>
      <c r="S82" s="16">
        <f>7741+84300</f>
        <v>92041</v>
      </c>
    </row>
    <row r="83" spans="1:19" s="2" customFormat="1" ht="12.75">
      <c r="A83" s="62" t="s">
        <v>98</v>
      </c>
      <c r="B83" s="18"/>
      <c r="C83" s="16">
        <v>3027372</v>
      </c>
      <c r="D83" s="16"/>
      <c r="E83" s="16">
        <v>6099253</v>
      </c>
      <c r="F83" s="16"/>
      <c r="G83" s="16">
        <v>0</v>
      </c>
      <c r="H83" s="16"/>
      <c r="I83" s="16">
        <v>1974643</v>
      </c>
      <c r="J83" s="16"/>
      <c r="K83" s="16">
        <v>2375425</v>
      </c>
      <c r="L83" s="16"/>
      <c r="M83" s="16">
        <v>0</v>
      </c>
      <c r="N83" s="14"/>
      <c r="O83" s="40">
        <f t="shared" si="1"/>
        <v>3668964</v>
      </c>
      <c r="P83" s="14"/>
      <c r="Q83" s="16">
        <v>17145657</v>
      </c>
      <c r="R83" s="9"/>
      <c r="S83" s="16">
        <f>16555+27213</f>
        <v>43768</v>
      </c>
    </row>
    <row r="84" spans="1:19" s="2" customFormat="1" ht="12.75">
      <c r="A84" s="62" t="s">
        <v>70</v>
      </c>
      <c r="B84" s="18"/>
      <c r="C84" s="16">
        <v>1604053</v>
      </c>
      <c r="D84" s="16"/>
      <c r="E84" s="16">
        <v>9177699</v>
      </c>
      <c r="F84" s="16"/>
      <c r="G84" s="16">
        <v>347232</v>
      </c>
      <c r="H84" s="16"/>
      <c r="I84" s="16">
        <v>1886637</v>
      </c>
      <c r="J84" s="16"/>
      <c r="K84" s="16">
        <v>1716339</v>
      </c>
      <c r="L84" s="16"/>
      <c r="M84" s="16">
        <v>0</v>
      </c>
      <c r="N84" s="14"/>
      <c r="O84" s="40">
        <f t="shared" si="1"/>
        <v>1211471</v>
      </c>
      <c r="P84" s="14"/>
      <c r="Q84" s="16">
        <v>15943431</v>
      </c>
      <c r="R84" s="9"/>
      <c r="S84" s="16">
        <f>20566+185724+263813</f>
        <v>470103</v>
      </c>
    </row>
    <row r="85" spans="1:19" s="2" customFormat="1" ht="12.75">
      <c r="A85" s="62" t="s">
        <v>71</v>
      </c>
      <c r="B85" s="18"/>
      <c r="C85" s="16">
        <v>2334921</v>
      </c>
      <c r="D85" s="16"/>
      <c r="E85" s="16">
        <v>6830418</v>
      </c>
      <c r="F85" s="16"/>
      <c r="G85" s="16">
        <v>0</v>
      </c>
      <c r="H85" s="16"/>
      <c r="I85" s="16">
        <v>1618501</v>
      </c>
      <c r="J85" s="16"/>
      <c r="K85" s="16">
        <v>4862093</v>
      </c>
      <c r="L85" s="16"/>
      <c r="M85" s="16">
        <v>0</v>
      </c>
      <c r="N85" s="14"/>
      <c r="O85" s="40">
        <f t="shared" si="1"/>
        <v>1754851</v>
      </c>
      <c r="P85" s="14"/>
      <c r="Q85" s="16">
        <v>17400784</v>
      </c>
      <c r="R85" s="9"/>
      <c r="S85" s="16">
        <f>611+132725</f>
        <v>133336</v>
      </c>
    </row>
    <row r="86" spans="1:19" s="2" customFormat="1" ht="12.75">
      <c r="A86" s="62" t="s">
        <v>72</v>
      </c>
      <c r="B86" s="18"/>
      <c r="C86" s="16">
        <v>2124764</v>
      </c>
      <c r="D86" s="16"/>
      <c r="E86" s="16">
        <v>4095521</v>
      </c>
      <c r="F86" s="16"/>
      <c r="G86" s="16">
        <v>0</v>
      </c>
      <c r="H86" s="16"/>
      <c r="I86" s="16">
        <v>2203138</v>
      </c>
      <c r="J86" s="16"/>
      <c r="K86" s="16">
        <v>1994309</v>
      </c>
      <c r="L86" s="16"/>
      <c r="M86" s="16">
        <v>0</v>
      </c>
      <c r="N86" s="14"/>
      <c r="O86" s="40">
        <f t="shared" si="1"/>
        <v>1726653</v>
      </c>
      <c r="P86" s="14"/>
      <c r="Q86" s="16">
        <v>12144385</v>
      </c>
      <c r="R86" s="9"/>
      <c r="S86" s="16">
        <v>29850</v>
      </c>
    </row>
    <row r="87" spans="1:19" s="2" customFormat="1" ht="12.75">
      <c r="A87" s="62" t="s">
        <v>73</v>
      </c>
      <c r="B87" s="18"/>
      <c r="C87" s="16">
        <v>15312037</v>
      </c>
      <c r="D87" s="16"/>
      <c r="E87" s="16">
        <v>11789499</v>
      </c>
      <c r="F87" s="16"/>
      <c r="G87" s="16">
        <v>0</v>
      </c>
      <c r="H87" s="16"/>
      <c r="I87" s="16">
        <v>14373080</v>
      </c>
      <c r="J87" s="16"/>
      <c r="K87" s="16">
        <v>9531629</v>
      </c>
      <c r="L87" s="16"/>
      <c r="M87" s="16">
        <v>0</v>
      </c>
      <c r="N87" s="14"/>
      <c r="O87" s="40">
        <f t="shared" si="1"/>
        <v>3452853</v>
      </c>
      <c r="P87" s="14"/>
      <c r="Q87" s="16">
        <v>54459098</v>
      </c>
      <c r="R87" s="9"/>
      <c r="S87" s="16">
        <f>600000+21828+22448</f>
        <v>644276</v>
      </c>
    </row>
    <row r="88" spans="1:19" s="2" customFormat="1" ht="12.75">
      <c r="A88" s="62" t="s">
        <v>74</v>
      </c>
      <c r="B88" s="18"/>
      <c r="C88" s="16">
        <v>17759053</v>
      </c>
      <c r="D88" s="16"/>
      <c r="E88" s="16">
        <v>36696576</v>
      </c>
      <c r="F88" s="16"/>
      <c r="G88" s="16">
        <v>7840180</v>
      </c>
      <c r="H88" s="16"/>
      <c r="I88" s="16">
        <v>23649210</v>
      </c>
      <c r="J88" s="16"/>
      <c r="K88" s="16">
        <v>17380955</v>
      </c>
      <c r="L88" s="16"/>
      <c r="M88" s="16">
        <v>0</v>
      </c>
      <c r="N88" s="14"/>
      <c r="O88" s="40">
        <f t="shared" si="1"/>
        <v>15892613</v>
      </c>
      <c r="P88" s="14"/>
      <c r="Q88" s="16">
        <v>119218587</v>
      </c>
      <c r="R88" s="9"/>
      <c r="S88" s="16">
        <f>5625+57912</f>
        <v>63537</v>
      </c>
    </row>
    <row r="89" spans="1:19" s="2" customFormat="1" ht="12.75">
      <c r="A89" s="62" t="s">
        <v>75</v>
      </c>
      <c r="B89" s="18"/>
      <c r="C89" s="16">
        <v>7878344</v>
      </c>
      <c r="D89" s="16"/>
      <c r="E89" s="16">
        <v>22500179</v>
      </c>
      <c r="F89" s="16"/>
      <c r="G89" s="16">
        <v>0</v>
      </c>
      <c r="H89" s="16"/>
      <c r="I89" s="16">
        <v>2654641</v>
      </c>
      <c r="J89" s="16"/>
      <c r="K89" s="16">
        <v>7368815</v>
      </c>
      <c r="L89" s="16"/>
      <c r="M89" s="16">
        <v>0</v>
      </c>
      <c r="N89" s="14"/>
      <c r="O89" s="40">
        <f t="shared" si="1"/>
        <v>9644439</v>
      </c>
      <c r="P89" s="14"/>
      <c r="Q89" s="16">
        <v>50046418</v>
      </c>
      <c r="R89" s="9"/>
      <c r="S89" s="16">
        <f>5132+442400</f>
        <v>447532</v>
      </c>
    </row>
    <row r="90" spans="1:19" s="2" customFormat="1" ht="12.75">
      <c r="A90" s="62" t="s">
        <v>76</v>
      </c>
      <c r="B90" s="18"/>
      <c r="C90" s="16">
        <v>3825378</v>
      </c>
      <c r="D90" s="16"/>
      <c r="E90" s="16">
        <v>9372726</v>
      </c>
      <c r="F90" s="16"/>
      <c r="G90" s="16">
        <v>0</v>
      </c>
      <c r="H90" s="16"/>
      <c r="I90" s="16">
        <v>2324295</v>
      </c>
      <c r="J90" s="16"/>
      <c r="K90" s="16">
        <v>2636632</v>
      </c>
      <c r="L90" s="16"/>
      <c r="M90" s="16">
        <v>0</v>
      </c>
      <c r="N90" s="14"/>
      <c r="O90" s="40">
        <f t="shared" si="1"/>
        <v>3480496</v>
      </c>
      <c r="P90" s="14"/>
      <c r="Q90" s="16">
        <v>21639527</v>
      </c>
      <c r="R90" s="9"/>
      <c r="S90" s="16">
        <v>220153</v>
      </c>
    </row>
    <row r="91" spans="1:19" s="2" customFormat="1" ht="12.75">
      <c r="A91" s="62" t="s">
        <v>77</v>
      </c>
      <c r="B91" s="18"/>
      <c r="C91" s="16">
        <v>4028077</v>
      </c>
      <c r="D91" s="16"/>
      <c r="E91" s="16">
        <v>8369261</v>
      </c>
      <c r="F91" s="16"/>
      <c r="G91" s="16">
        <v>0</v>
      </c>
      <c r="H91" s="16"/>
      <c r="I91" s="16">
        <v>2374971</v>
      </c>
      <c r="J91" s="16"/>
      <c r="K91" s="16">
        <v>1965099</v>
      </c>
      <c r="L91" s="16"/>
      <c r="M91" s="16">
        <v>0</v>
      </c>
      <c r="N91" s="14"/>
      <c r="O91" s="40">
        <f t="shared" si="1"/>
        <v>3012002</v>
      </c>
      <c r="P91" s="14"/>
      <c r="Q91" s="16">
        <v>19749410</v>
      </c>
      <c r="R91" s="9"/>
      <c r="S91" s="16">
        <f>16000+38870</f>
        <v>54870</v>
      </c>
    </row>
    <row r="92" spans="1:19" s="2" customFormat="1" ht="12.75">
      <c r="A92" s="62" t="s">
        <v>78</v>
      </c>
      <c r="B92" s="18"/>
      <c r="C92" s="16">
        <v>946943</v>
      </c>
      <c r="D92" s="16"/>
      <c r="E92" s="16">
        <v>3717988</v>
      </c>
      <c r="F92" s="16"/>
      <c r="G92" s="16">
        <v>0</v>
      </c>
      <c r="H92" s="16"/>
      <c r="I92" s="16">
        <v>718689</v>
      </c>
      <c r="J92" s="16"/>
      <c r="K92" s="16">
        <v>1251193</v>
      </c>
      <c r="L92" s="16"/>
      <c r="M92" s="16">
        <v>0</v>
      </c>
      <c r="N92" s="14"/>
      <c r="O92" s="40">
        <f t="shared" si="1"/>
        <v>908704</v>
      </c>
      <c r="P92" s="14"/>
      <c r="Q92" s="16">
        <v>7543517</v>
      </c>
      <c r="R92" s="9"/>
      <c r="S92" s="16">
        <f>6485+257</f>
        <v>6742</v>
      </c>
    </row>
    <row r="93" spans="1:19" s="2" customFormat="1" ht="12.75" hidden="1">
      <c r="A93" s="62" t="s">
        <v>79</v>
      </c>
      <c r="B93" s="18"/>
      <c r="C93" s="16">
        <v>0</v>
      </c>
      <c r="D93" s="16"/>
      <c r="E93" s="16">
        <v>0</v>
      </c>
      <c r="F93" s="16"/>
      <c r="G93" s="16">
        <v>0</v>
      </c>
      <c r="H93" s="16"/>
      <c r="I93" s="16">
        <v>0</v>
      </c>
      <c r="J93" s="16"/>
      <c r="K93" s="16">
        <v>0</v>
      </c>
      <c r="L93" s="16"/>
      <c r="M93" s="16">
        <v>0</v>
      </c>
      <c r="N93" s="14"/>
      <c r="O93" s="40">
        <f t="shared" si="1"/>
        <v>0</v>
      </c>
      <c r="P93" s="14"/>
      <c r="Q93" s="16">
        <v>0</v>
      </c>
      <c r="R93" s="9"/>
      <c r="S93" s="16">
        <v>0</v>
      </c>
    </row>
    <row r="94" spans="1:19" s="2" customFormat="1" ht="12.75">
      <c r="A94" s="62" t="s">
        <v>80</v>
      </c>
      <c r="B94" s="18"/>
      <c r="C94" s="16">
        <v>39102895</v>
      </c>
      <c r="D94" s="16"/>
      <c r="E94" s="16">
        <v>0</v>
      </c>
      <c r="F94" s="16"/>
      <c r="G94" s="16">
        <v>0</v>
      </c>
      <c r="H94" s="16"/>
      <c r="I94" s="16">
        <v>5962797</v>
      </c>
      <c r="J94" s="16"/>
      <c r="K94" s="16">
        <v>4897713</v>
      </c>
      <c r="L94" s="16"/>
      <c r="M94" s="16">
        <v>0</v>
      </c>
      <c r="N94" s="14"/>
      <c r="O94" s="40">
        <f aca="true" t="shared" si="2" ref="O94:O99">Q94-C94-E94-G94-I94-K94-M94</f>
        <v>12712594</v>
      </c>
      <c r="P94" s="14"/>
      <c r="Q94" s="16">
        <v>62675999</v>
      </c>
      <c r="R94" s="9"/>
      <c r="S94" s="16">
        <v>20000</v>
      </c>
    </row>
    <row r="95" spans="1:19" s="2" customFormat="1" ht="12.75">
      <c r="A95" s="62" t="s">
        <v>81</v>
      </c>
      <c r="B95" s="18"/>
      <c r="C95" s="16">
        <v>2544618</v>
      </c>
      <c r="D95" s="16"/>
      <c r="E95" s="16">
        <v>9800888</v>
      </c>
      <c r="F95" s="16"/>
      <c r="G95" s="16">
        <v>0</v>
      </c>
      <c r="H95" s="16"/>
      <c r="I95" s="16">
        <v>2489040</v>
      </c>
      <c r="J95" s="16"/>
      <c r="K95" s="16">
        <v>1997439</v>
      </c>
      <c r="L95" s="16"/>
      <c r="M95" s="16">
        <v>0</v>
      </c>
      <c r="N95" s="14"/>
      <c r="O95" s="40">
        <f t="shared" si="2"/>
        <v>1599891</v>
      </c>
      <c r="P95" s="14"/>
      <c r="Q95" s="16">
        <v>18431876</v>
      </c>
      <c r="R95" s="9"/>
      <c r="S95" s="16">
        <f>9931+152934+7299</f>
        <v>170164</v>
      </c>
    </row>
    <row r="96" spans="1:19" s="2" customFormat="1" ht="12.75">
      <c r="A96" s="62" t="s">
        <v>82</v>
      </c>
      <c r="B96" s="18"/>
      <c r="C96" s="16">
        <v>3640375</v>
      </c>
      <c r="D96" s="16"/>
      <c r="E96" s="16">
        <v>8552924</v>
      </c>
      <c r="F96" s="16"/>
      <c r="G96" s="16">
        <v>0</v>
      </c>
      <c r="H96" s="16"/>
      <c r="I96" s="16">
        <v>4828794</v>
      </c>
      <c r="J96" s="16"/>
      <c r="K96" s="16">
        <v>3418834</v>
      </c>
      <c r="L96" s="16"/>
      <c r="M96" s="16">
        <v>0</v>
      </c>
      <c r="N96" s="14"/>
      <c r="O96" s="40">
        <f t="shared" si="2"/>
        <v>5278421</v>
      </c>
      <c r="P96" s="14"/>
      <c r="Q96" s="16">
        <v>25719348</v>
      </c>
      <c r="R96" s="9"/>
      <c r="S96" s="16">
        <v>653</v>
      </c>
    </row>
    <row r="97" spans="1:19" s="2" customFormat="1" ht="12.75" hidden="1">
      <c r="A97" s="62" t="s">
        <v>174</v>
      </c>
      <c r="B97" s="18"/>
      <c r="C97" s="16">
        <v>0</v>
      </c>
      <c r="D97" s="16"/>
      <c r="E97" s="16">
        <v>0</v>
      </c>
      <c r="F97" s="16"/>
      <c r="G97" s="16">
        <v>0</v>
      </c>
      <c r="H97" s="16"/>
      <c r="I97" s="16">
        <v>0</v>
      </c>
      <c r="J97" s="16"/>
      <c r="K97" s="16">
        <v>0</v>
      </c>
      <c r="L97" s="16"/>
      <c r="M97" s="16">
        <v>0</v>
      </c>
      <c r="N97" s="14"/>
      <c r="O97" s="40">
        <f t="shared" si="2"/>
        <v>0</v>
      </c>
      <c r="P97" s="14"/>
      <c r="Q97" s="16">
        <v>0</v>
      </c>
      <c r="R97" s="9"/>
      <c r="S97" s="16">
        <v>0</v>
      </c>
    </row>
    <row r="98" spans="1:19" s="2" customFormat="1" ht="12.75">
      <c r="A98" s="62" t="s">
        <v>83</v>
      </c>
      <c r="B98" s="18"/>
      <c r="C98" s="16">
        <v>6063724</v>
      </c>
      <c r="D98" s="16"/>
      <c r="E98" s="16">
        <v>15048296</v>
      </c>
      <c r="F98" s="16"/>
      <c r="G98" s="16">
        <v>30951</v>
      </c>
      <c r="H98" s="16"/>
      <c r="I98" s="16">
        <v>6140216</v>
      </c>
      <c r="J98" s="16"/>
      <c r="K98" s="16">
        <v>3912953</v>
      </c>
      <c r="L98" s="16"/>
      <c r="M98" s="16">
        <v>0</v>
      </c>
      <c r="N98" s="14"/>
      <c r="O98" s="40">
        <f t="shared" si="2"/>
        <v>6914023</v>
      </c>
      <c r="P98" s="14"/>
      <c r="Q98" s="16">
        <v>38110163</v>
      </c>
      <c r="R98" s="9"/>
      <c r="S98" s="16">
        <v>12159</v>
      </c>
    </row>
    <row r="99" spans="1:19" s="2" customFormat="1" ht="12.75" hidden="1">
      <c r="A99" s="62" t="s">
        <v>175</v>
      </c>
      <c r="B99" s="18"/>
      <c r="C99" s="14">
        <v>0</v>
      </c>
      <c r="D99" s="14"/>
      <c r="E99" s="14">
        <v>0</v>
      </c>
      <c r="F99" s="14"/>
      <c r="G99" s="14">
        <v>0</v>
      </c>
      <c r="H99" s="14"/>
      <c r="I99" s="14">
        <v>0</v>
      </c>
      <c r="J99" s="14"/>
      <c r="K99" s="14">
        <v>0</v>
      </c>
      <c r="L99" s="14"/>
      <c r="M99" s="14">
        <v>0</v>
      </c>
      <c r="N99" s="14"/>
      <c r="O99" s="40">
        <f t="shared" si="2"/>
        <v>0</v>
      </c>
      <c r="P99" s="14"/>
      <c r="Q99" s="14">
        <v>0</v>
      </c>
      <c r="R99" s="9"/>
      <c r="S99" s="9">
        <v>0</v>
      </c>
    </row>
    <row r="100" spans="1:19" s="2" customFormat="1" ht="12.75">
      <c r="A100" s="62"/>
      <c r="B100" s="18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0"/>
      <c r="P100" s="14"/>
      <c r="Q100" s="14"/>
      <c r="R100" s="9"/>
      <c r="S100" s="9"/>
    </row>
    <row r="101" spans="1:19" s="2" customFormat="1" ht="12.75">
      <c r="A101" s="62" t="s">
        <v>229</v>
      </c>
      <c r="B101" s="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7"/>
      <c r="P101" s="11"/>
      <c r="Q101" s="11"/>
      <c r="R101" s="9"/>
      <c r="S101" s="9"/>
    </row>
    <row r="102" spans="1:19" s="2" customFormat="1" ht="12.75">
      <c r="A102" s="99"/>
      <c r="B102" s="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01"/>
      <c r="P102" s="31"/>
      <c r="Q102" s="31"/>
      <c r="R102" s="1"/>
      <c r="S102" s="1"/>
    </row>
    <row r="103" spans="1:19" s="2" customFormat="1" ht="12.75">
      <c r="A103" s="99"/>
      <c r="B103" s="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01"/>
      <c r="P103" s="31"/>
      <c r="Q103" s="31"/>
      <c r="R103" s="1"/>
      <c r="S103" s="1"/>
    </row>
    <row r="104" spans="1:19" s="2" customFormat="1" ht="12.75">
      <c r="A104" s="9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9"/>
      <c r="P104" s="1"/>
      <c r="Q104" s="1"/>
      <c r="R104" s="1"/>
      <c r="S104" s="1"/>
    </row>
    <row r="105" spans="1:19" s="2" customFormat="1" ht="12.75">
      <c r="A105" s="9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9"/>
      <c r="P105" s="1"/>
      <c r="Q105" s="1"/>
      <c r="R105" s="1"/>
      <c r="S105" s="1"/>
    </row>
    <row r="106" spans="1:19" s="2" customFormat="1" ht="12.75">
      <c r="A106" s="9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9"/>
      <c r="P106" s="1"/>
      <c r="Q106" s="1"/>
      <c r="R106" s="1"/>
      <c r="S106" s="1"/>
    </row>
    <row r="107" spans="1:15" s="2" customFormat="1" ht="12.75">
      <c r="A107" s="34"/>
      <c r="O107" s="34"/>
    </row>
    <row r="108" spans="1:15" s="2" customFormat="1" ht="12.75">
      <c r="A108" s="34"/>
      <c r="O108" s="34"/>
    </row>
    <row r="109" spans="1:15" s="2" customFormat="1" ht="12.75">
      <c r="A109" s="34"/>
      <c r="O109" s="34"/>
    </row>
    <row r="110" spans="1:15" s="2" customFormat="1" ht="12.75">
      <c r="A110" s="34"/>
      <c r="O110" s="34"/>
    </row>
    <row r="111" spans="1:15" s="2" customFormat="1" ht="12.75">
      <c r="A111" s="34"/>
      <c r="O111" s="34"/>
    </row>
    <row r="112" spans="1:15" s="2" customFormat="1" ht="12.75">
      <c r="A112" s="34"/>
      <c r="O112" s="34"/>
    </row>
    <row r="113" spans="1:15" s="2" customFormat="1" ht="12.75">
      <c r="A113" s="34"/>
      <c r="O113" s="34"/>
    </row>
  </sheetData>
  <sheetProtection/>
  <printOptions/>
  <pageMargins left="1" right="1" top="0.5" bottom="0.5" header="0" footer="0.25"/>
  <pageSetup firstPageNumber="24" useFirstPageNumber="1" fitToHeight="2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5" max="16" man="1"/>
  </rowBreaks>
  <colBreaks count="1" manualBreakCount="1">
    <brk id="12" min="1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AK108"/>
  <sheetViews>
    <sheetView zoomScalePageLayoutView="0" workbookViewId="0" topLeftCell="A1">
      <pane xSplit="1" ySplit="9" topLeftCell="R7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82" sqref="AA82"/>
    </sheetView>
  </sheetViews>
  <sheetFormatPr defaultColWidth="9.140625" defaultRowHeight="12.75"/>
  <cols>
    <col min="1" max="1" width="15.7109375" style="124" customWidth="1"/>
    <col min="2" max="2" width="1.7109375" style="38" customWidth="1"/>
    <col min="3" max="3" width="11.7109375" style="38" customWidth="1"/>
    <col min="4" max="4" width="1.7109375" style="38" customWidth="1"/>
    <col min="5" max="5" width="11.7109375" style="38" customWidth="1"/>
    <col min="6" max="6" width="1.7109375" style="38" customWidth="1"/>
    <col min="7" max="7" width="11.7109375" style="38" customWidth="1"/>
    <col min="8" max="8" width="1.7109375" style="38" customWidth="1"/>
    <col min="9" max="9" width="11.7109375" style="38" customWidth="1"/>
    <col min="10" max="10" width="1.7109375" style="38" customWidth="1"/>
    <col min="11" max="11" width="11.7109375" style="38" customWidth="1"/>
    <col min="12" max="12" width="1.7109375" style="38" customWidth="1"/>
    <col min="13" max="13" width="11.7109375" style="38" customWidth="1"/>
    <col min="14" max="14" width="1.7109375" style="38" customWidth="1"/>
    <col min="15" max="15" width="11.7109375" style="38" customWidth="1"/>
    <col min="16" max="16" width="1.7109375" style="38" customWidth="1"/>
    <col min="17" max="17" width="11.7109375" style="38" customWidth="1"/>
    <col min="18" max="18" width="1.7109375" style="38" customWidth="1"/>
    <col min="19" max="19" width="11.7109375" style="38" customWidth="1"/>
    <col min="20" max="20" width="1.7109375" style="38" customWidth="1"/>
    <col min="21" max="21" width="11.7109375" style="38" customWidth="1"/>
    <col min="22" max="22" width="1.7109375" style="38" customWidth="1"/>
    <col min="23" max="23" width="11.7109375" style="38" customWidth="1"/>
    <col min="24" max="24" width="1.7109375" style="38" customWidth="1"/>
    <col min="25" max="25" width="11.7109375" style="38" customWidth="1"/>
    <col min="26" max="26" width="1.7109375" style="38" customWidth="1"/>
    <col min="27" max="27" width="11.7109375" style="38" customWidth="1"/>
    <col min="28" max="28" width="1.7109375" style="38" customWidth="1"/>
    <col min="29" max="29" width="11.7109375" style="124" customWidth="1"/>
    <col min="30" max="30" width="9.140625" style="26" customWidth="1"/>
    <col min="31" max="31" width="12.00390625" style="26" bestFit="1" customWidth="1"/>
    <col min="32" max="32" width="9.140625" style="26" customWidth="1"/>
    <col min="33" max="33" width="12.57421875" style="26" bestFit="1" customWidth="1"/>
    <col min="34" max="34" width="9.140625" style="26" customWidth="1"/>
    <col min="35" max="35" width="12.8515625" style="26" bestFit="1" customWidth="1"/>
    <col min="36" max="36" width="9.140625" style="26" customWidth="1"/>
    <col min="37" max="37" width="11.7109375" style="97" bestFit="1" customWidth="1"/>
    <col min="38" max="38" width="9.421875" style="26" bestFit="1" customWidth="1"/>
    <col min="39" max="16384" width="9.140625" style="26" customWidth="1"/>
  </cols>
  <sheetData>
    <row r="1" spans="1:31" s="66" customFormat="1" ht="12.75">
      <c r="A1" s="63" t="s">
        <v>201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4"/>
      <c r="AE1" s="65"/>
    </row>
    <row r="2" spans="1:31" s="66" customFormat="1" ht="12.75">
      <c r="A2" s="63" t="s">
        <v>249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4"/>
      <c r="AE2" s="65"/>
    </row>
    <row r="3" spans="1:31" s="66" customFormat="1" ht="12.75">
      <c r="A3" s="6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4"/>
      <c r="AE3" s="65"/>
    </row>
    <row r="4" spans="1:31" ht="12.75">
      <c r="A4" s="57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36"/>
      <c r="AE4" s="67"/>
    </row>
    <row r="5" spans="1:31" ht="12.75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36"/>
      <c r="AE5" s="67"/>
    </row>
    <row r="6" spans="1:31" ht="12.75">
      <c r="A6" s="57" t="s">
        <v>253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36"/>
      <c r="AE6" s="67"/>
    </row>
    <row r="7" spans="1:35" s="33" customFormat="1" ht="12">
      <c r="A7" s="5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36"/>
      <c r="AE7" s="36" t="s">
        <v>207</v>
      </c>
      <c r="AG7" s="33" t="s">
        <v>212</v>
      </c>
      <c r="AI7" s="33" t="s">
        <v>215</v>
      </c>
    </row>
    <row r="8" spans="1:37" s="32" customFormat="1" ht="12">
      <c r="A8" s="19"/>
      <c r="B8" s="19"/>
      <c r="C8" s="19" t="s">
        <v>185</v>
      </c>
      <c r="D8" s="19"/>
      <c r="E8" s="19"/>
      <c r="F8" s="19"/>
      <c r="G8" s="19" t="s">
        <v>84</v>
      </c>
      <c r="H8" s="19"/>
      <c r="I8" s="19" t="s">
        <v>84</v>
      </c>
      <c r="J8" s="19"/>
      <c r="K8" s="19"/>
      <c r="L8" s="19"/>
      <c r="M8" s="19" t="s">
        <v>85</v>
      </c>
      <c r="N8" s="19"/>
      <c r="O8" s="19" t="s">
        <v>165</v>
      </c>
      <c r="P8" s="19"/>
      <c r="Q8" s="19" t="s">
        <v>86</v>
      </c>
      <c r="R8" s="19"/>
      <c r="S8" s="19" t="s">
        <v>99</v>
      </c>
      <c r="T8" s="19"/>
      <c r="U8" s="19" t="s">
        <v>87</v>
      </c>
      <c r="V8" s="19"/>
      <c r="W8" s="19" t="s">
        <v>1</v>
      </c>
      <c r="X8" s="19"/>
      <c r="Y8" s="19"/>
      <c r="Z8" s="19"/>
      <c r="AA8" s="19" t="s">
        <v>100</v>
      </c>
      <c r="AB8" s="19"/>
      <c r="AC8" s="19"/>
      <c r="AD8" s="23"/>
      <c r="AE8" s="23" t="s">
        <v>211</v>
      </c>
      <c r="AG8" s="32" t="s">
        <v>213</v>
      </c>
      <c r="AI8" s="32" t="s">
        <v>216</v>
      </c>
      <c r="AK8" s="32" t="s">
        <v>218</v>
      </c>
    </row>
    <row r="9" spans="1:37" s="32" customFormat="1" ht="12">
      <c r="A9" s="53" t="s">
        <v>5</v>
      </c>
      <c r="B9" s="23"/>
      <c r="C9" s="53" t="s">
        <v>186</v>
      </c>
      <c r="D9" s="23"/>
      <c r="E9" s="53" t="s">
        <v>88</v>
      </c>
      <c r="F9" s="23"/>
      <c r="G9" s="53" t="s">
        <v>89</v>
      </c>
      <c r="H9" s="23"/>
      <c r="I9" s="53" t="s">
        <v>90</v>
      </c>
      <c r="J9" s="23"/>
      <c r="K9" s="53" t="s">
        <v>91</v>
      </c>
      <c r="L9" s="23"/>
      <c r="M9" s="53" t="s">
        <v>8</v>
      </c>
      <c r="N9" s="23"/>
      <c r="O9" s="53" t="s">
        <v>166</v>
      </c>
      <c r="P9" s="23"/>
      <c r="Q9" s="53" t="s">
        <v>189</v>
      </c>
      <c r="R9" s="23"/>
      <c r="S9" s="53" t="s">
        <v>92</v>
      </c>
      <c r="T9" s="23"/>
      <c r="U9" s="53" t="s">
        <v>93</v>
      </c>
      <c r="V9" s="23"/>
      <c r="W9" s="53" t="s">
        <v>9</v>
      </c>
      <c r="X9" s="23"/>
      <c r="Y9" s="53" t="s">
        <v>94</v>
      </c>
      <c r="Z9" s="23"/>
      <c r="AA9" s="53" t="s">
        <v>95</v>
      </c>
      <c r="AB9" s="23"/>
      <c r="AC9" s="53" t="s">
        <v>4</v>
      </c>
      <c r="AD9" s="23"/>
      <c r="AE9" s="23" t="s">
        <v>208</v>
      </c>
      <c r="AG9" s="32" t="s">
        <v>214</v>
      </c>
      <c r="AI9" s="32" t="s">
        <v>217</v>
      </c>
      <c r="AK9" s="32" t="s">
        <v>219</v>
      </c>
    </row>
    <row r="10" spans="1:31" s="32" customFormat="1" ht="12">
      <c r="A10" s="19"/>
      <c r="B10" s="23"/>
      <c r="C10" s="19"/>
      <c r="D10" s="23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23"/>
      <c r="S10" s="19"/>
      <c r="T10" s="23"/>
      <c r="U10" s="19"/>
      <c r="V10" s="23"/>
      <c r="W10" s="19"/>
      <c r="X10" s="23"/>
      <c r="Y10" s="19"/>
      <c r="Z10" s="23"/>
      <c r="AA10" s="19"/>
      <c r="AB10" s="23"/>
      <c r="AC10" s="19"/>
      <c r="AD10" s="23"/>
      <c r="AE10" s="23"/>
    </row>
    <row r="11" spans="1:31" s="32" customFormat="1" ht="12">
      <c r="A11" s="19"/>
      <c r="B11" s="23"/>
      <c r="C11" s="19"/>
      <c r="D11" s="23"/>
      <c r="E11" s="19"/>
      <c r="F11" s="23"/>
      <c r="G11" s="19"/>
      <c r="H11" s="23"/>
      <c r="I11" s="19"/>
      <c r="J11" s="23"/>
      <c r="K11" s="19"/>
      <c r="L11" s="23"/>
      <c r="M11" s="19"/>
      <c r="N11" s="23"/>
      <c r="O11" s="19"/>
      <c r="P11" s="23"/>
      <c r="Q11" s="19"/>
      <c r="R11" s="23"/>
      <c r="S11" s="19"/>
      <c r="T11" s="23"/>
      <c r="U11" s="19"/>
      <c r="V11" s="23"/>
      <c r="W11" s="19"/>
      <c r="X11" s="23"/>
      <c r="Y11" s="19"/>
      <c r="Z11" s="23"/>
      <c r="AA11" s="19"/>
      <c r="AB11" s="23"/>
      <c r="AC11" s="19"/>
      <c r="AD11" s="23"/>
      <c r="AE11" s="23"/>
    </row>
    <row r="12" spans="1:37" s="32" customFormat="1" ht="12" hidden="1">
      <c r="A12" s="89" t="s">
        <v>237</v>
      </c>
      <c r="B12" s="23"/>
      <c r="C12" s="47">
        <v>0</v>
      </c>
      <c r="D12" s="47"/>
      <c r="E12" s="47">
        <v>0</v>
      </c>
      <c r="F12" s="47"/>
      <c r="G12" s="47">
        <v>0</v>
      </c>
      <c r="H12" s="47"/>
      <c r="I12" s="47">
        <v>0</v>
      </c>
      <c r="J12" s="47"/>
      <c r="K12" s="47">
        <v>0</v>
      </c>
      <c r="L12" s="47"/>
      <c r="M12" s="47">
        <v>0</v>
      </c>
      <c r="N12" s="47"/>
      <c r="O12" s="47">
        <v>0</v>
      </c>
      <c r="P12" s="47"/>
      <c r="Q12" s="47">
        <v>0</v>
      </c>
      <c r="R12" s="47"/>
      <c r="S12" s="47">
        <v>0</v>
      </c>
      <c r="T12" s="61"/>
      <c r="U12" s="47">
        <v>0</v>
      </c>
      <c r="V12" s="47"/>
      <c r="W12" s="47">
        <v>0</v>
      </c>
      <c r="X12" s="47"/>
      <c r="Y12" s="47">
        <v>0</v>
      </c>
      <c r="Z12" s="47"/>
      <c r="AA12" s="47">
        <v>0</v>
      </c>
      <c r="AB12" s="47"/>
      <c r="AC12" s="61">
        <f>SUM(C12:AA12)</f>
        <v>0</v>
      </c>
      <c r="AD12" s="41"/>
      <c r="AE12" s="47">
        <v>0</v>
      </c>
      <c r="AG12" s="47">
        <v>0</v>
      </c>
      <c r="AI12" s="32">
        <v>0</v>
      </c>
      <c r="AK12" s="32">
        <f>+GenRev!Q10-GenExp!AC12-AE12+GenRev!S10+AG12+AI12-'Gen Fd BS'!O10</f>
        <v>0</v>
      </c>
    </row>
    <row r="13" spans="1:37" s="32" customFormat="1" ht="12">
      <c r="A13" s="23" t="s">
        <v>13</v>
      </c>
      <c r="B13" s="23"/>
      <c r="C13" s="47">
        <v>11062638</v>
      </c>
      <c r="D13" s="47"/>
      <c r="E13" s="47">
        <v>5002482</v>
      </c>
      <c r="F13" s="47"/>
      <c r="G13" s="47">
        <v>8885854</v>
      </c>
      <c r="H13" s="47"/>
      <c r="I13" s="47">
        <v>164199</v>
      </c>
      <c r="J13" s="47"/>
      <c r="K13" s="47">
        <v>228817</v>
      </c>
      <c r="L13" s="47"/>
      <c r="M13" s="47">
        <v>877333</v>
      </c>
      <c r="N13" s="47"/>
      <c r="O13" s="47">
        <v>0</v>
      </c>
      <c r="P13" s="47"/>
      <c r="Q13" s="47">
        <v>715726</v>
      </c>
      <c r="R13" s="47"/>
      <c r="S13" s="47">
        <v>339472</v>
      </c>
      <c r="T13" s="61"/>
      <c r="U13" s="47">
        <v>0</v>
      </c>
      <c r="V13" s="47"/>
      <c r="W13" s="47">
        <v>175378</v>
      </c>
      <c r="X13" s="47"/>
      <c r="Y13" s="47">
        <v>51673</v>
      </c>
      <c r="Z13" s="47"/>
      <c r="AA13" s="47">
        <v>24457</v>
      </c>
      <c r="AB13" s="47"/>
      <c r="AC13" s="61">
        <f>SUM(C13:AA13)</f>
        <v>27528029</v>
      </c>
      <c r="AD13" s="41"/>
      <c r="AE13" s="47">
        <v>169306</v>
      </c>
      <c r="AG13" s="47">
        <v>4131097</v>
      </c>
      <c r="AI13" s="47">
        <v>0</v>
      </c>
      <c r="AK13" s="32">
        <f>+GenRev!Q11-GenExp!AC13-AE13+GenRev!S11+AG13+AI13-'Gen Fd BS'!O11</f>
        <v>0</v>
      </c>
    </row>
    <row r="14" spans="1:37" s="32" customFormat="1" ht="12">
      <c r="A14" s="23" t="s">
        <v>14</v>
      </c>
      <c r="B14" s="23"/>
      <c r="C14" s="30">
        <v>5018994</v>
      </c>
      <c r="D14" s="30"/>
      <c r="E14" s="30">
        <v>1412819</v>
      </c>
      <c r="F14" s="30"/>
      <c r="G14" s="30">
        <f>4533581+108485</f>
        <v>4642066</v>
      </c>
      <c r="H14" s="30"/>
      <c r="I14" s="30">
        <v>110433</v>
      </c>
      <c r="J14" s="30"/>
      <c r="K14" s="30">
        <v>333632</v>
      </c>
      <c r="L14" s="30"/>
      <c r="M14" s="30">
        <f>408955</f>
        <v>408955</v>
      </c>
      <c r="N14" s="30"/>
      <c r="O14" s="30">
        <v>0</v>
      </c>
      <c r="P14" s="30"/>
      <c r="Q14" s="30">
        <v>20000</v>
      </c>
      <c r="R14" s="30"/>
      <c r="S14" s="30">
        <v>0</v>
      </c>
      <c r="T14" s="40"/>
      <c r="U14" s="30">
        <v>0</v>
      </c>
      <c r="V14" s="30"/>
      <c r="W14" s="30">
        <v>99000</v>
      </c>
      <c r="X14" s="30"/>
      <c r="Y14" s="30">
        <v>0</v>
      </c>
      <c r="Z14" s="30"/>
      <c r="AA14" s="30">
        <v>0</v>
      </c>
      <c r="AB14" s="30"/>
      <c r="AC14" s="40">
        <f aca="true" t="shared" si="0" ref="AC14:AC30">SUM(C14:AA14)</f>
        <v>12045899</v>
      </c>
      <c r="AD14" s="41"/>
      <c r="AE14" s="30">
        <v>1567013</v>
      </c>
      <c r="AG14" s="30">
        <v>4189497</v>
      </c>
      <c r="AI14" s="30">
        <v>0</v>
      </c>
      <c r="AK14" s="32">
        <f>+GenRev!Q12-GenExp!AC14-AE14+GenRev!S12+AG14+AI14-'Gen Fd BS'!O12</f>
        <v>0</v>
      </c>
    </row>
    <row r="15" spans="1:37" s="32" customFormat="1" ht="12">
      <c r="A15" s="23" t="s">
        <v>15</v>
      </c>
      <c r="B15" s="23"/>
      <c r="C15" s="30">
        <v>6276204</v>
      </c>
      <c r="D15" s="30"/>
      <c r="E15" s="30">
        <v>4272401</v>
      </c>
      <c r="F15" s="30"/>
      <c r="G15" s="30">
        <v>7271519</v>
      </c>
      <c r="H15" s="30"/>
      <c r="I15" s="30">
        <v>235557</v>
      </c>
      <c r="J15" s="30"/>
      <c r="K15" s="30">
        <v>78873</v>
      </c>
      <c r="L15" s="30"/>
      <c r="M15" s="30">
        <v>1474719</v>
      </c>
      <c r="N15" s="30"/>
      <c r="O15" s="30">
        <v>0</v>
      </c>
      <c r="P15" s="30"/>
      <c r="Q15" s="30">
        <v>385792</v>
      </c>
      <c r="R15" s="30"/>
      <c r="S15" s="30">
        <v>686639</v>
      </c>
      <c r="T15" s="40"/>
      <c r="U15" s="30">
        <v>387298</v>
      </c>
      <c r="V15" s="30"/>
      <c r="W15" s="30">
        <v>0</v>
      </c>
      <c r="X15" s="30"/>
      <c r="Y15" s="30">
        <v>43837</v>
      </c>
      <c r="Z15" s="30"/>
      <c r="AA15" s="30">
        <v>8774</v>
      </c>
      <c r="AB15" s="30"/>
      <c r="AC15" s="40">
        <f t="shared" si="0"/>
        <v>21121613</v>
      </c>
      <c r="AD15" s="41"/>
      <c r="AE15" s="30">
        <f>65000+2297073</f>
        <v>2362073</v>
      </c>
      <c r="AG15" s="30">
        <v>4141554</v>
      </c>
      <c r="AI15" s="30">
        <v>0</v>
      </c>
      <c r="AK15" s="32">
        <f>+GenRev!Q13-GenExp!AC15-AE15+GenRev!S13+AG15+AI15-'Gen Fd BS'!O13</f>
        <v>0</v>
      </c>
    </row>
    <row r="16" spans="1:37" s="32" customFormat="1" ht="12">
      <c r="A16" s="23" t="s">
        <v>16</v>
      </c>
      <c r="B16" s="23"/>
      <c r="C16" s="30">
        <v>5113367</v>
      </c>
      <c r="D16" s="30"/>
      <c r="E16" s="30">
        <v>2086000</v>
      </c>
      <c r="F16" s="30"/>
      <c r="G16" s="30">
        <v>2944052</v>
      </c>
      <c r="H16" s="30"/>
      <c r="I16" s="30">
        <v>80000</v>
      </c>
      <c r="J16" s="30"/>
      <c r="K16" s="30">
        <v>246504</v>
      </c>
      <c r="L16" s="30"/>
      <c r="M16" s="30">
        <v>421348</v>
      </c>
      <c r="N16" s="30"/>
      <c r="O16" s="30">
        <v>0</v>
      </c>
      <c r="P16" s="30"/>
      <c r="Q16" s="30">
        <v>5283</v>
      </c>
      <c r="R16" s="30"/>
      <c r="S16" s="30">
        <v>0</v>
      </c>
      <c r="T16" s="40"/>
      <c r="U16" s="30">
        <v>0</v>
      </c>
      <c r="V16" s="30"/>
      <c r="W16" s="30">
        <v>0</v>
      </c>
      <c r="X16" s="30"/>
      <c r="Y16" s="30">
        <v>120819</v>
      </c>
      <c r="Z16" s="30"/>
      <c r="AA16" s="30">
        <v>2061</v>
      </c>
      <c r="AB16" s="30"/>
      <c r="AC16" s="40">
        <f t="shared" si="0"/>
        <v>11019434</v>
      </c>
      <c r="AD16" s="41"/>
      <c r="AE16" s="30">
        <v>1086999</v>
      </c>
      <c r="AG16" s="30">
        <v>2697287</v>
      </c>
      <c r="AI16" s="30">
        <v>0</v>
      </c>
      <c r="AK16" s="32">
        <f>+GenRev!Q14-GenExp!AC16-AE16+GenRev!S14+AG16+AI16-'Gen Fd BS'!O14</f>
        <v>0</v>
      </c>
    </row>
    <row r="17" spans="1:37" s="32" customFormat="1" ht="12">
      <c r="A17" s="23" t="s">
        <v>17</v>
      </c>
      <c r="B17" s="23"/>
      <c r="C17" s="30">
        <v>2999728</v>
      </c>
      <c r="D17" s="30"/>
      <c r="E17" s="30">
        <v>1607875</v>
      </c>
      <c r="F17" s="30"/>
      <c r="G17" s="30">
        <v>4608134</v>
      </c>
      <c r="H17" s="30"/>
      <c r="I17" s="30">
        <v>353565</v>
      </c>
      <c r="J17" s="30"/>
      <c r="K17" s="30">
        <v>84879</v>
      </c>
      <c r="L17" s="30"/>
      <c r="M17" s="30">
        <v>272861</v>
      </c>
      <c r="N17" s="30"/>
      <c r="O17" s="30">
        <v>0</v>
      </c>
      <c r="P17" s="30"/>
      <c r="Q17" s="30">
        <v>0</v>
      </c>
      <c r="R17" s="30"/>
      <c r="S17" s="30">
        <v>1850015</v>
      </c>
      <c r="T17" s="40"/>
      <c r="U17" s="30">
        <v>0</v>
      </c>
      <c r="V17" s="30"/>
      <c r="W17" s="30">
        <v>0</v>
      </c>
      <c r="X17" s="30"/>
      <c r="Y17" s="30">
        <v>0</v>
      </c>
      <c r="Z17" s="30"/>
      <c r="AA17" s="30">
        <v>0</v>
      </c>
      <c r="AB17" s="30"/>
      <c r="AC17" s="40">
        <f t="shared" si="0"/>
        <v>11777057</v>
      </c>
      <c r="AD17" s="41"/>
      <c r="AE17" s="30">
        <f>563996+181000</f>
        <v>744996</v>
      </c>
      <c r="AG17" s="30">
        <v>4377315</v>
      </c>
      <c r="AI17" s="30">
        <v>0</v>
      </c>
      <c r="AK17" s="32">
        <f>+GenRev!Q15-GenExp!AC17-AE17+GenRev!S15+AG17+AI17-'Gen Fd BS'!O15</f>
        <v>0</v>
      </c>
    </row>
    <row r="18" spans="1:37" s="32" customFormat="1" ht="12">
      <c r="A18" s="23" t="s">
        <v>18</v>
      </c>
      <c r="B18" s="23"/>
      <c r="C18" s="30">
        <v>7023862</v>
      </c>
      <c r="D18" s="30"/>
      <c r="E18" s="30">
        <v>2606479</v>
      </c>
      <c r="F18" s="30"/>
      <c r="G18" s="30">
        <v>6993102</v>
      </c>
      <c r="H18" s="30"/>
      <c r="I18" s="30">
        <v>439709</v>
      </c>
      <c r="J18" s="30"/>
      <c r="K18" s="30">
        <v>513296</v>
      </c>
      <c r="L18" s="30"/>
      <c r="M18" s="30">
        <v>349089</v>
      </c>
      <c r="N18" s="30"/>
      <c r="O18" s="30">
        <v>0</v>
      </c>
      <c r="P18" s="30"/>
      <c r="Q18" s="30">
        <v>0</v>
      </c>
      <c r="R18" s="30"/>
      <c r="S18" s="30">
        <v>11605</v>
      </c>
      <c r="T18" s="40"/>
      <c r="U18" s="30">
        <v>11984</v>
      </c>
      <c r="V18" s="30"/>
      <c r="W18" s="30">
        <v>0</v>
      </c>
      <c r="X18" s="30"/>
      <c r="Y18" s="30">
        <v>39537</v>
      </c>
      <c r="Z18" s="30"/>
      <c r="AA18" s="30">
        <v>6427</v>
      </c>
      <c r="AB18" s="30"/>
      <c r="AC18" s="40">
        <f t="shared" si="0"/>
        <v>17995090</v>
      </c>
      <c r="AD18" s="41"/>
      <c r="AE18" s="30">
        <v>1970109</v>
      </c>
      <c r="AG18" s="30">
        <v>6686602</v>
      </c>
      <c r="AI18" s="30">
        <v>0</v>
      </c>
      <c r="AK18" s="32">
        <f>+GenRev!Q16-GenExp!AC18-AE18+GenRev!S16+AG18+AI18-'Gen Fd BS'!O16</f>
        <v>0</v>
      </c>
    </row>
    <row r="19" spans="1:37" s="32" customFormat="1" ht="12" hidden="1">
      <c r="A19" s="23" t="s">
        <v>240</v>
      </c>
      <c r="B19" s="2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40"/>
      <c r="U19" s="30"/>
      <c r="V19" s="30"/>
      <c r="W19" s="30"/>
      <c r="X19" s="30"/>
      <c r="Y19" s="30"/>
      <c r="Z19" s="30"/>
      <c r="AA19" s="30"/>
      <c r="AB19" s="30"/>
      <c r="AC19" s="40">
        <f t="shared" si="0"/>
        <v>0</v>
      </c>
      <c r="AD19" s="41"/>
      <c r="AE19" s="30"/>
      <c r="AG19" s="30"/>
      <c r="AI19" s="30"/>
      <c r="AK19" s="32">
        <f>+GenRev!Q17-GenExp!AC19-AE19+GenRev!S17+AG19+AI19-'Gen Fd BS'!O17</f>
        <v>0</v>
      </c>
    </row>
    <row r="20" spans="1:37" s="32" customFormat="1" ht="12">
      <c r="A20" s="23" t="s">
        <v>238</v>
      </c>
      <c r="B20" s="23"/>
      <c r="C20" s="30">
        <v>25432000</v>
      </c>
      <c r="D20" s="30"/>
      <c r="E20" s="30">
        <v>14257761</v>
      </c>
      <c r="F20" s="30"/>
      <c r="G20" s="30">
        <v>49013333</v>
      </c>
      <c r="H20" s="30"/>
      <c r="I20" s="30">
        <v>207671</v>
      </c>
      <c r="J20" s="30"/>
      <c r="K20" s="30">
        <v>738677</v>
      </c>
      <c r="L20" s="30"/>
      <c r="M20" s="30">
        <v>1298295</v>
      </c>
      <c r="N20" s="30"/>
      <c r="O20" s="30">
        <v>0</v>
      </c>
      <c r="P20" s="30"/>
      <c r="Q20" s="30">
        <v>686496</v>
      </c>
      <c r="R20" s="30"/>
      <c r="S20" s="30">
        <v>0</v>
      </c>
      <c r="T20" s="40"/>
      <c r="U20" s="30">
        <v>0</v>
      </c>
      <c r="V20" s="30"/>
      <c r="W20" s="30">
        <v>0</v>
      </c>
      <c r="X20" s="30"/>
      <c r="Y20" s="30">
        <v>4746168</v>
      </c>
      <c r="Z20" s="30"/>
      <c r="AA20" s="30">
        <f>3417079+152352</f>
        <v>3569431</v>
      </c>
      <c r="AB20" s="30"/>
      <c r="AC20" s="40">
        <f>SUM(C20:AA20)</f>
        <v>99949832</v>
      </c>
      <c r="AD20" s="41"/>
      <c r="AE20" s="30">
        <f>2698662+12830901</f>
        <v>15529563</v>
      </c>
      <c r="AG20" s="30">
        <v>30512821</v>
      </c>
      <c r="AI20" s="30">
        <v>0</v>
      </c>
      <c r="AK20" s="32">
        <f>+GenRev!Q18-GenExp!AC20-AE20+GenRev!S18+AG20+AI20-'Gen Fd BS'!O18</f>
        <v>0</v>
      </c>
    </row>
    <row r="21" spans="1:37" s="32" customFormat="1" ht="12">
      <c r="A21" s="23" t="s">
        <v>20</v>
      </c>
      <c r="B21" s="23"/>
      <c r="C21" s="30">
        <v>2131295</v>
      </c>
      <c r="D21" s="30"/>
      <c r="E21" s="30">
        <v>973395</v>
      </c>
      <c r="F21" s="30"/>
      <c r="G21" s="30">
        <v>1629174</v>
      </c>
      <c r="H21" s="30"/>
      <c r="I21" s="30">
        <v>30953</v>
      </c>
      <c r="J21" s="30"/>
      <c r="K21" s="30">
        <v>40867</v>
      </c>
      <c r="L21" s="30"/>
      <c r="M21" s="30">
        <v>208837</v>
      </c>
      <c r="N21" s="30"/>
      <c r="O21" s="30">
        <v>29000</v>
      </c>
      <c r="P21" s="30"/>
      <c r="Q21" s="30">
        <v>0</v>
      </c>
      <c r="R21" s="30"/>
      <c r="S21" s="30">
        <v>671542</v>
      </c>
      <c r="T21" s="40"/>
      <c r="U21" s="30">
        <v>126420</v>
      </c>
      <c r="V21" s="30"/>
      <c r="W21" s="30">
        <v>0</v>
      </c>
      <c r="X21" s="30"/>
      <c r="Y21" s="30">
        <v>68300</v>
      </c>
      <c r="Z21" s="30"/>
      <c r="AA21" s="30">
        <v>4576</v>
      </c>
      <c r="AB21" s="30"/>
      <c r="AC21" s="40">
        <f t="shared" si="0"/>
        <v>5914359</v>
      </c>
      <c r="AD21" s="41"/>
      <c r="AE21" s="30">
        <v>37960</v>
      </c>
      <c r="AG21" s="30">
        <v>1087740</v>
      </c>
      <c r="AI21" s="30">
        <v>0</v>
      </c>
      <c r="AK21" s="32">
        <f>+GenRev!Q19-GenExp!AC21-AE21+GenRev!S19+AG21+AI21-'Gen Fd BS'!O19</f>
        <v>0</v>
      </c>
    </row>
    <row r="22" spans="1:37" s="32" customFormat="1" ht="12" hidden="1">
      <c r="A22" s="23" t="s">
        <v>173</v>
      </c>
      <c r="B22" s="23"/>
      <c r="C22" s="30">
        <v>0</v>
      </c>
      <c r="D22" s="30"/>
      <c r="E22" s="30">
        <v>0</v>
      </c>
      <c r="F22" s="30"/>
      <c r="G22" s="30">
        <v>0</v>
      </c>
      <c r="H22" s="30"/>
      <c r="I22" s="30">
        <v>0</v>
      </c>
      <c r="J22" s="30"/>
      <c r="K22" s="30">
        <v>0</v>
      </c>
      <c r="L22" s="30"/>
      <c r="M22" s="30">
        <v>0</v>
      </c>
      <c r="N22" s="30"/>
      <c r="O22" s="30">
        <v>0</v>
      </c>
      <c r="P22" s="30"/>
      <c r="Q22" s="30">
        <v>0</v>
      </c>
      <c r="R22" s="30"/>
      <c r="S22" s="30">
        <v>0</v>
      </c>
      <c r="T22" s="40"/>
      <c r="U22" s="30">
        <v>0</v>
      </c>
      <c r="V22" s="30"/>
      <c r="W22" s="30">
        <v>0</v>
      </c>
      <c r="X22" s="30"/>
      <c r="Y22" s="30">
        <v>0</v>
      </c>
      <c r="Z22" s="30"/>
      <c r="AA22" s="30">
        <v>0</v>
      </c>
      <c r="AB22" s="30"/>
      <c r="AC22" s="40">
        <f t="shared" si="0"/>
        <v>0</v>
      </c>
      <c r="AD22" s="41"/>
      <c r="AE22" s="30">
        <v>0</v>
      </c>
      <c r="AG22" s="30">
        <v>0</v>
      </c>
      <c r="AI22" s="30">
        <v>0</v>
      </c>
      <c r="AK22" s="32">
        <f>+GenRev!Q20-GenExp!AC22-AE22+GenRev!S20+AG22+AI22-'Gen Fd BS'!O20</f>
        <v>0</v>
      </c>
    </row>
    <row r="23" spans="1:37" s="32" customFormat="1" ht="12">
      <c r="A23" s="23" t="s">
        <v>21</v>
      </c>
      <c r="B23" s="23"/>
      <c r="C23" s="30">
        <v>4056126</v>
      </c>
      <c r="D23" s="30"/>
      <c r="E23" s="30">
        <v>8951206</v>
      </c>
      <c r="F23" s="30"/>
      <c r="G23" s="30">
        <v>13654760</v>
      </c>
      <c r="H23" s="30"/>
      <c r="I23" s="30">
        <v>4113837</v>
      </c>
      <c r="J23" s="30"/>
      <c r="K23" s="30">
        <v>149052</v>
      </c>
      <c r="L23" s="30"/>
      <c r="M23" s="30">
        <v>787263</v>
      </c>
      <c r="N23" s="30"/>
      <c r="O23" s="30">
        <v>0</v>
      </c>
      <c r="P23" s="30"/>
      <c r="Q23" s="30">
        <v>771326</v>
      </c>
      <c r="R23" s="30"/>
      <c r="S23" s="30">
        <v>0</v>
      </c>
      <c r="T23" s="40"/>
      <c r="U23" s="30">
        <v>0</v>
      </c>
      <c r="V23" s="30"/>
      <c r="W23" s="30">
        <v>0</v>
      </c>
      <c r="X23" s="30"/>
      <c r="Y23" s="30">
        <v>0</v>
      </c>
      <c r="Z23" s="30"/>
      <c r="AA23" s="30">
        <v>0</v>
      </c>
      <c r="AB23" s="30"/>
      <c r="AC23" s="40">
        <f t="shared" si="0"/>
        <v>32483570</v>
      </c>
      <c r="AD23" s="41"/>
      <c r="AE23" s="30">
        <v>4774932</v>
      </c>
      <c r="AG23" s="30">
        <v>10903788</v>
      </c>
      <c r="AI23" s="30">
        <v>0</v>
      </c>
      <c r="AK23" s="32">
        <f>+GenRev!Q21-GenExp!AC23-AE23+GenRev!S21+AG23+AI23-'Gen Fd BS'!O21</f>
        <v>0</v>
      </c>
    </row>
    <row r="24" spans="1:37" s="32" customFormat="1" ht="12">
      <c r="A24" s="23" t="s">
        <v>181</v>
      </c>
      <c r="B24" s="23"/>
      <c r="C24" s="30">
        <v>14434952</v>
      </c>
      <c r="D24" s="30"/>
      <c r="E24" s="30">
        <v>9016268</v>
      </c>
      <c r="F24" s="30"/>
      <c r="G24" s="30">
        <v>21890842</v>
      </c>
      <c r="H24" s="30"/>
      <c r="I24" s="30">
        <v>0</v>
      </c>
      <c r="J24" s="30"/>
      <c r="K24" s="30">
        <v>422921</v>
      </c>
      <c r="L24" s="30"/>
      <c r="M24" s="30">
        <v>1322021</v>
      </c>
      <c r="N24" s="30"/>
      <c r="O24" s="30">
        <f>232192+1304138</f>
        <v>1536330</v>
      </c>
      <c r="P24" s="30"/>
      <c r="Q24" s="30">
        <v>0</v>
      </c>
      <c r="R24" s="30"/>
      <c r="S24" s="30">
        <v>0</v>
      </c>
      <c r="T24" s="40"/>
      <c r="U24" s="30">
        <v>0</v>
      </c>
      <c r="V24" s="30"/>
      <c r="W24" s="30">
        <v>0</v>
      </c>
      <c r="X24" s="30"/>
      <c r="Y24" s="30">
        <v>0</v>
      </c>
      <c r="Z24" s="30"/>
      <c r="AA24" s="30">
        <v>0</v>
      </c>
      <c r="AB24" s="30"/>
      <c r="AC24" s="40">
        <f t="shared" si="0"/>
        <v>48623334</v>
      </c>
      <c r="AD24" s="41"/>
      <c r="AE24" s="30">
        <v>4236927</v>
      </c>
      <c r="AG24" s="30">
        <v>20883826</v>
      </c>
      <c r="AI24" s="30">
        <v>0</v>
      </c>
      <c r="AK24" s="32">
        <f>+GenRev!Q22-GenExp!AC24-AE24+GenRev!S22+AG24+AI24-'Gen Fd BS'!O22</f>
        <v>0</v>
      </c>
    </row>
    <row r="25" spans="1:37" s="32" customFormat="1" ht="12">
      <c r="A25" s="23" t="s">
        <v>22</v>
      </c>
      <c r="B25" s="23"/>
      <c r="C25" s="30">
        <v>5395613</v>
      </c>
      <c r="D25" s="30"/>
      <c r="E25" s="30">
        <v>2659025</v>
      </c>
      <c r="F25" s="30"/>
      <c r="G25" s="30">
        <v>3929764</v>
      </c>
      <c r="H25" s="30"/>
      <c r="I25" s="30">
        <v>100896</v>
      </c>
      <c r="J25" s="30"/>
      <c r="K25" s="30">
        <v>38297</v>
      </c>
      <c r="L25" s="30"/>
      <c r="M25" s="30">
        <v>395591</v>
      </c>
      <c r="N25" s="30"/>
      <c r="O25" s="30">
        <v>0</v>
      </c>
      <c r="P25" s="30"/>
      <c r="Q25" s="30">
        <v>0</v>
      </c>
      <c r="R25" s="30"/>
      <c r="S25" s="30">
        <v>636525</v>
      </c>
      <c r="T25" s="40"/>
      <c r="U25" s="30">
        <v>0</v>
      </c>
      <c r="V25" s="30"/>
      <c r="W25" s="30">
        <v>0</v>
      </c>
      <c r="X25" s="30"/>
      <c r="Y25" s="30">
        <v>1039</v>
      </c>
      <c r="Z25" s="30"/>
      <c r="AA25" s="30">
        <v>2922</v>
      </c>
      <c r="AB25" s="30"/>
      <c r="AC25" s="40">
        <f t="shared" si="0"/>
        <v>13159672</v>
      </c>
      <c r="AD25" s="41"/>
      <c r="AE25" s="30">
        <v>1462297</v>
      </c>
      <c r="AG25" s="30">
        <v>2960344</v>
      </c>
      <c r="AI25" s="30">
        <v>0</v>
      </c>
      <c r="AK25" s="32">
        <f>+GenRev!Q23-GenExp!AC25-AE25+GenRev!S23+AG25+AI25-'Gen Fd BS'!O23</f>
        <v>0</v>
      </c>
    </row>
    <row r="26" spans="1:37" s="32" customFormat="1" ht="12" hidden="1">
      <c r="A26" s="23" t="s">
        <v>23</v>
      </c>
      <c r="B26" s="23"/>
      <c r="C26" s="30">
        <v>0</v>
      </c>
      <c r="D26" s="30"/>
      <c r="E26" s="30">
        <v>0</v>
      </c>
      <c r="F26" s="30"/>
      <c r="G26" s="30">
        <v>0</v>
      </c>
      <c r="H26" s="30"/>
      <c r="I26" s="30">
        <v>0</v>
      </c>
      <c r="J26" s="30"/>
      <c r="K26" s="30">
        <v>0</v>
      </c>
      <c r="L26" s="30"/>
      <c r="M26" s="30">
        <v>0</v>
      </c>
      <c r="N26" s="30"/>
      <c r="O26" s="30">
        <v>0</v>
      </c>
      <c r="P26" s="30"/>
      <c r="Q26" s="30">
        <v>0</v>
      </c>
      <c r="R26" s="30"/>
      <c r="S26" s="30">
        <v>0</v>
      </c>
      <c r="T26" s="40"/>
      <c r="U26" s="30">
        <v>0</v>
      </c>
      <c r="V26" s="30"/>
      <c r="W26" s="30">
        <v>0</v>
      </c>
      <c r="X26" s="30"/>
      <c r="Y26" s="30">
        <v>0</v>
      </c>
      <c r="Z26" s="30"/>
      <c r="AA26" s="30">
        <v>0</v>
      </c>
      <c r="AB26" s="30"/>
      <c r="AC26" s="40">
        <f t="shared" si="0"/>
        <v>0</v>
      </c>
      <c r="AD26" s="41"/>
      <c r="AE26" s="30">
        <v>0</v>
      </c>
      <c r="AG26" s="30">
        <v>0</v>
      </c>
      <c r="AI26" s="30">
        <v>0</v>
      </c>
      <c r="AK26" s="32">
        <f>+GenRev!Q24-GenExp!AC26-AE26+GenRev!S24+AG26+AI26-'Gen Fd BS'!O24</f>
        <v>0</v>
      </c>
    </row>
    <row r="27" spans="1:37" s="32" customFormat="1" ht="12">
      <c r="A27" s="23" t="s">
        <v>24</v>
      </c>
      <c r="B27" s="23"/>
      <c r="C27" s="30">
        <v>3109533</v>
      </c>
      <c r="D27" s="30"/>
      <c r="E27" s="30">
        <v>1489403</v>
      </c>
      <c r="F27" s="30"/>
      <c r="G27" s="30">
        <v>3079105</v>
      </c>
      <c r="H27" s="30"/>
      <c r="I27" s="30">
        <v>109107</v>
      </c>
      <c r="J27" s="30"/>
      <c r="K27" s="30">
        <v>87444</v>
      </c>
      <c r="L27" s="30"/>
      <c r="M27" s="30">
        <v>258539</v>
      </c>
      <c r="N27" s="30"/>
      <c r="O27" s="30">
        <v>0</v>
      </c>
      <c r="P27" s="30"/>
      <c r="Q27" s="30">
        <v>413331</v>
      </c>
      <c r="R27" s="30"/>
      <c r="S27" s="30">
        <v>372193</v>
      </c>
      <c r="T27" s="40"/>
      <c r="U27" s="30">
        <v>0</v>
      </c>
      <c r="V27" s="30"/>
      <c r="W27" s="30">
        <v>0</v>
      </c>
      <c r="X27" s="30"/>
      <c r="Y27" s="30">
        <v>58608</v>
      </c>
      <c r="Z27" s="30"/>
      <c r="AA27" s="30">
        <v>6203</v>
      </c>
      <c r="AB27" s="30"/>
      <c r="AC27" s="40">
        <f t="shared" si="0"/>
        <v>8983466</v>
      </c>
      <c r="AD27" s="41"/>
      <c r="AE27" s="30">
        <v>269075</v>
      </c>
      <c r="AG27" s="30">
        <v>1784786</v>
      </c>
      <c r="AI27" s="30">
        <v>0</v>
      </c>
      <c r="AK27" s="32">
        <f>+GenRev!Q25-GenExp!AC27-AE27+GenRev!S25+AG27+AI27-'Gen Fd BS'!O25</f>
        <v>0</v>
      </c>
    </row>
    <row r="28" spans="1:37" s="32" customFormat="1" ht="12">
      <c r="A28" s="23" t="s">
        <v>243</v>
      </c>
      <c r="B28" s="23"/>
      <c r="C28" s="30">
        <v>2990699</v>
      </c>
      <c r="D28" s="30"/>
      <c r="E28" s="30">
        <v>1857623</v>
      </c>
      <c r="F28" s="30"/>
      <c r="G28" s="30">
        <v>2560784</v>
      </c>
      <c r="H28" s="30"/>
      <c r="I28" s="30">
        <v>157855</v>
      </c>
      <c r="J28" s="30"/>
      <c r="K28" s="30">
        <v>375632</v>
      </c>
      <c r="L28" s="30"/>
      <c r="M28" s="30">
        <v>344866</v>
      </c>
      <c r="N28" s="30"/>
      <c r="O28" s="30">
        <v>0</v>
      </c>
      <c r="P28" s="30"/>
      <c r="Q28" s="30">
        <v>0</v>
      </c>
      <c r="R28" s="30"/>
      <c r="S28" s="30">
        <v>0</v>
      </c>
      <c r="T28" s="40"/>
      <c r="U28" s="30">
        <v>0</v>
      </c>
      <c r="V28" s="30"/>
      <c r="W28" s="30">
        <v>0</v>
      </c>
      <c r="X28" s="30"/>
      <c r="Y28" s="30">
        <v>0</v>
      </c>
      <c r="Z28" s="30"/>
      <c r="AA28" s="30">
        <v>0</v>
      </c>
      <c r="AB28" s="30"/>
      <c r="AC28" s="40">
        <f t="shared" si="0"/>
        <v>8287459</v>
      </c>
      <c r="AD28" s="41"/>
      <c r="AE28" s="30">
        <v>1887106</v>
      </c>
      <c r="AG28" s="30">
        <v>5028668</v>
      </c>
      <c r="AI28" s="30">
        <v>0</v>
      </c>
      <c r="AK28" s="32">
        <f>+GenRev!Q26-GenExp!AC28-AE28+GenRev!S26+AG28+AI28-'Gen Fd BS'!O26</f>
        <v>0</v>
      </c>
    </row>
    <row r="29" spans="1:37" s="32" customFormat="1" ht="12">
      <c r="A29" s="23" t="s">
        <v>25</v>
      </c>
      <c r="B29" s="23"/>
      <c r="C29" s="30">
        <f>51190*1000</f>
        <v>51190000</v>
      </c>
      <c r="D29" s="30"/>
      <c r="E29" s="30">
        <f>252710*1000</f>
        <v>252710000</v>
      </c>
      <c r="F29" s="30"/>
      <c r="G29" s="30">
        <v>0</v>
      </c>
      <c r="H29" s="30"/>
      <c r="I29" s="30">
        <v>0</v>
      </c>
      <c r="J29" s="30"/>
      <c r="K29" s="30">
        <f>999*1000</f>
        <v>999000</v>
      </c>
      <c r="L29" s="30"/>
      <c r="M29" s="30">
        <f>6299*1000</f>
        <v>6299000</v>
      </c>
      <c r="N29" s="30"/>
      <c r="O29" s="30">
        <f>7629*1000</f>
        <v>7629000</v>
      </c>
      <c r="P29" s="30"/>
      <c r="Q29" s="30">
        <v>0</v>
      </c>
      <c r="R29" s="30"/>
      <c r="S29" s="30">
        <v>0</v>
      </c>
      <c r="T29" s="40"/>
      <c r="U29" s="30">
        <v>0</v>
      </c>
      <c r="V29" s="30"/>
      <c r="W29" s="30">
        <v>0</v>
      </c>
      <c r="X29" s="30"/>
      <c r="Y29" s="30">
        <f>250*1000</f>
        <v>250000</v>
      </c>
      <c r="Z29" s="30"/>
      <c r="AA29" s="30">
        <f>25*1000</f>
        <v>25000</v>
      </c>
      <c r="AB29" s="30"/>
      <c r="AC29" s="40">
        <f t="shared" si="0"/>
        <v>319102000</v>
      </c>
      <c r="AD29" s="41"/>
      <c r="AE29" s="30">
        <f>(7194+8074)*1000</f>
        <v>15268000</v>
      </c>
      <c r="AG29" s="30">
        <f>162894*1000</f>
        <v>162894000</v>
      </c>
      <c r="AI29" s="30">
        <v>0</v>
      </c>
      <c r="AK29" s="32">
        <f>+GenRev!Q27-GenExp!AC29-AE29+GenRev!S27+AG29+AI29-'Gen Fd BS'!O27</f>
        <v>0</v>
      </c>
    </row>
    <row r="30" spans="1:37" s="32" customFormat="1" ht="12">
      <c r="A30" s="23" t="s">
        <v>26</v>
      </c>
      <c r="B30" s="23"/>
      <c r="C30" s="30">
        <v>5950053</v>
      </c>
      <c r="D30" s="30"/>
      <c r="E30" s="30">
        <v>0</v>
      </c>
      <c r="F30" s="30"/>
      <c r="G30" s="30">
        <v>4005031</v>
      </c>
      <c r="H30" s="30"/>
      <c r="I30" s="30">
        <v>90193</v>
      </c>
      <c r="J30" s="30"/>
      <c r="K30" s="30">
        <v>59425</v>
      </c>
      <c r="L30" s="30"/>
      <c r="M30" s="30">
        <v>318499</v>
      </c>
      <c r="N30" s="30"/>
      <c r="O30" s="30">
        <v>206902</v>
      </c>
      <c r="P30" s="30"/>
      <c r="Q30" s="30">
        <v>0</v>
      </c>
      <c r="R30" s="30"/>
      <c r="S30" s="30">
        <v>0</v>
      </c>
      <c r="T30" s="40"/>
      <c r="U30" s="30">
        <v>0</v>
      </c>
      <c r="V30" s="30"/>
      <c r="W30" s="30">
        <v>0</v>
      </c>
      <c r="X30" s="30"/>
      <c r="Y30" s="30">
        <v>0</v>
      </c>
      <c r="Z30" s="30"/>
      <c r="AA30" s="30">
        <v>0</v>
      </c>
      <c r="AB30" s="30"/>
      <c r="AC30" s="40">
        <f t="shared" si="0"/>
        <v>10630103</v>
      </c>
      <c r="AD30" s="41"/>
      <c r="AE30" s="30">
        <v>2562455</v>
      </c>
      <c r="AG30" s="30">
        <f>2261662</f>
        <v>2261662</v>
      </c>
      <c r="AI30" s="30">
        <v>-1268</v>
      </c>
      <c r="AK30" s="32">
        <f>+GenRev!Q28-GenExp!AC30-AE30+GenRev!S28+AG30+AI30-'Gen Fd BS'!O28</f>
        <v>0</v>
      </c>
    </row>
    <row r="31" spans="1:37" s="32" customFormat="1" ht="12">
      <c r="A31" s="23" t="s">
        <v>27</v>
      </c>
      <c r="B31" s="23"/>
      <c r="C31" s="30">
        <v>3212734</v>
      </c>
      <c r="D31" s="30"/>
      <c r="E31" s="30">
        <v>1266593</v>
      </c>
      <c r="F31" s="30"/>
      <c r="G31" s="30">
        <v>1991925</v>
      </c>
      <c r="H31" s="30"/>
      <c r="I31" s="30">
        <v>118780</v>
      </c>
      <c r="J31" s="30"/>
      <c r="K31" s="30">
        <v>38059</v>
      </c>
      <c r="L31" s="30"/>
      <c r="M31" s="30">
        <v>310958</v>
      </c>
      <c r="N31" s="30"/>
      <c r="O31" s="30">
        <v>0</v>
      </c>
      <c r="P31" s="30"/>
      <c r="Q31" s="30">
        <v>0</v>
      </c>
      <c r="R31" s="30"/>
      <c r="S31" s="30">
        <v>1711855</v>
      </c>
      <c r="T31" s="40"/>
      <c r="U31" s="30">
        <v>0</v>
      </c>
      <c r="V31" s="30"/>
      <c r="W31" s="30">
        <v>0</v>
      </c>
      <c r="X31" s="30"/>
      <c r="Y31" s="30">
        <v>0</v>
      </c>
      <c r="Z31" s="30"/>
      <c r="AA31" s="30">
        <v>0</v>
      </c>
      <c r="AB31" s="30"/>
      <c r="AC31" s="40">
        <f aca="true" t="shared" si="1" ref="AC31:AC95">SUM(C31:AA31)</f>
        <v>8650904</v>
      </c>
      <c r="AD31" s="41"/>
      <c r="AE31" s="30">
        <v>4154136</v>
      </c>
      <c r="AG31" s="30">
        <v>9045914</v>
      </c>
      <c r="AI31" s="30">
        <v>0</v>
      </c>
      <c r="AK31" s="32">
        <f>+GenRev!Q29-GenExp!AC31-AE31+GenRev!S29+AG31+AI31-'Gen Fd BS'!O29</f>
        <v>0</v>
      </c>
    </row>
    <row r="32" spans="1:37" s="32" customFormat="1" ht="12">
      <c r="A32" s="23" t="s">
        <v>28</v>
      </c>
      <c r="B32" s="23"/>
      <c r="C32" s="30">
        <v>10159949</v>
      </c>
      <c r="D32" s="30"/>
      <c r="E32" s="30">
        <v>7205243</v>
      </c>
      <c r="F32" s="30"/>
      <c r="G32" s="30">
        <v>24588866</v>
      </c>
      <c r="H32" s="30"/>
      <c r="I32" s="30">
        <v>244510</v>
      </c>
      <c r="J32" s="30"/>
      <c r="K32" s="30">
        <v>56854</v>
      </c>
      <c r="L32" s="30"/>
      <c r="M32" s="30">
        <v>317573</v>
      </c>
      <c r="N32" s="30"/>
      <c r="O32" s="30">
        <v>0</v>
      </c>
      <c r="P32" s="30"/>
      <c r="Q32" s="30">
        <v>0</v>
      </c>
      <c r="R32" s="30"/>
      <c r="S32" s="30">
        <v>0</v>
      </c>
      <c r="T32" s="40"/>
      <c r="U32" s="30">
        <v>0</v>
      </c>
      <c r="V32" s="30"/>
      <c r="W32" s="30">
        <f>5000+275000+342800</f>
        <v>622800</v>
      </c>
      <c r="X32" s="30"/>
      <c r="Y32" s="30">
        <v>0</v>
      </c>
      <c r="Z32" s="30"/>
      <c r="AA32" s="30">
        <v>0</v>
      </c>
      <c r="AB32" s="30"/>
      <c r="AC32" s="40">
        <f t="shared" si="1"/>
        <v>43195795</v>
      </c>
      <c r="AD32" s="41"/>
      <c r="AE32" s="30">
        <v>10509444</v>
      </c>
      <c r="AG32" s="30">
        <v>18692996</v>
      </c>
      <c r="AI32" s="30">
        <v>0</v>
      </c>
      <c r="AK32" s="32">
        <f>+GenRev!Q30-GenExp!AC32-AE32+GenRev!S30+AG32+AI32-'Gen Fd BS'!O30</f>
        <v>0</v>
      </c>
    </row>
    <row r="33" spans="1:37" s="32" customFormat="1" ht="12">
      <c r="A33" s="23" t="s">
        <v>29</v>
      </c>
      <c r="B33" s="23"/>
      <c r="C33" s="30">
        <v>9626747</v>
      </c>
      <c r="D33" s="30"/>
      <c r="E33" s="30">
        <v>6472286</v>
      </c>
      <c r="F33" s="30"/>
      <c r="G33" s="30">
        <v>7053807</v>
      </c>
      <c r="H33" s="30"/>
      <c r="I33" s="30">
        <v>117429</v>
      </c>
      <c r="J33" s="30"/>
      <c r="K33" s="30">
        <v>181267</v>
      </c>
      <c r="L33" s="30"/>
      <c r="M33" s="30">
        <v>500207</v>
      </c>
      <c r="N33" s="30"/>
      <c r="O33" s="30">
        <v>0</v>
      </c>
      <c r="P33" s="30"/>
      <c r="Q33" s="30">
        <v>0</v>
      </c>
      <c r="R33" s="30"/>
      <c r="S33" s="30">
        <v>292755</v>
      </c>
      <c r="T33" s="40"/>
      <c r="U33" s="30">
        <v>924218</v>
      </c>
      <c r="V33" s="30"/>
      <c r="W33" s="30">
        <v>0</v>
      </c>
      <c r="X33" s="30"/>
      <c r="Y33" s="30">
        <v>22607</v>
      </c>
      <c r="Z33" s="30"/>
      <c r="AA33" s="30">
        <v>9254</v>
      </c>
      <c r="AB33" s="30"/>
      <c r="AC33" s="40">
        <f t="shared" si="1"/>
        <v>25200577</v>
      </c>
      <c r="AD33" s="41"/>
      <c r="AE33" s="30">
        <v>3687657</v>
      </c>
      <c r="AG33" s="30">
        <v>9287054</v>
      </c>
      <c r="AI33" s="30">
        <v>11840</v>
      </c>
      <c r="AK33" s="32">
        <f>+GenRev!Q31-GenExp!AC33-AE33+GenRev!S31+AG33+AI33-'Gen Fd BS'!O31</f>
        <v>0</v>
      </c>
    </row>
    <row r="34" spans="1:37" s="32" customFormat="1" ht="12">
      <c r="A34" s="23" t="s">
        <v>30</v>
      </c>
      <c r="B34" s="23"/>
      <c r="C34" s="30">
        <v>8379363</v>
      </c>
      <c r="D34" s="30"/>
      <c r="E34" s="30">
        <v>3814877</v>
      </c>
      <c r="F34" s="30"/>
      <c r="G34" s="30">
        <v>11306172</v>
      </c>
      <c r="H34" s="30"/>
      <c r="I34" s="30">
        <v>0</v>
      </c>
      <c r="J34" s="30"/>
      <c r="K34" s="30">
        <v>532310</v>
      </c>
      <c r="L34" s="30"/>
      <c r="M34" s="30">
        <v>766431</v>
      </c>
      <c r="N34" s="30"/>
      <c r="O34" s="30">
        <v>0</v>
      </c>
      <c r="P34" s="30"/>
      <c r="Q34" s="30">
        <v>0</v>
      </c>
      <c r="R34" s="30"/>
      <c r="S34" s="30">
        <f>110308+250919</f>
        <v>361227</v>
      </c>
      <c r="T34" s="40"/>
      <c r="U34" s="30">
        <v>0</v>
      </c>
      <c r="V34" s="30"/>
      <c r="W34" s="30">
        <v>1663570</v>
      </c>
      <c r="X34" s="30"/>
      <c r="Y34" s="30">
        <v>71866</v>
      </c>
      <c r="Z34" s="30"/>
      <c r="AA34" s="30">
        <v>4665</v>
      </c>
      <c r="AB34" s="30"/>
      <c r="AC34" s="40">
        <f t="shared" si="1"/>
        <v>26900481</v>
      </c>
      <c r="AD34" s="41"/>
      <c r="AE34" s="30">
        <v>4934046</v>
      </c>
      <c r="AG34" s="30">
        <v>15244188</v>
      </c>
      <c r="AI34" s="30">
        <v>0</v>
      </c>
      <c r="AK34" s="32">
        <f>+GenRev!Q32-GenExp!AC34-AE34+GenRev!S32+AG34+AI34-'Gen Fd BS'!O32</f>
        <v>0</v>
      </c>
    </row>
    <row r="35" spans="1:37" s="32" customFormat="1" ht="12" hidden="1">
      <c r="A35" s="23" t="s">
        <v>239</v>
      </c>
      <c r="B35" s="23"/>
      <c r="C35" s="30">
        <v>0</v>
      </c>
      <c r="D35" s="30"/>
      <c r="E35" s="30">
        <v>0</v>
      </c>
      <c r="F35" s="30"/>
      <c r="G35" s="30">
        <v>0</v>
      </c>
      <c r="H35" s="30"/>
      <c r="I35" s="30">
        <v>0</v>
      </c>
      <c r="J35" s="30"/>
      <c r="K35" s="30">
        <v>0</v>
      </c>
      <c r="L35" s="30"/>
      <c r="M35" s="30">
        <v>0</v>
      </c>
      <c r="N35" s="30"/>
      <c r="O35" s="30">
        <v>0</v>
      </c>
      <c r="P35" s="30"/>
      <c r="Q35" s="30">
        <v>0</v>
      </c>
      <c r="R35" s="30"/>
      <c r="S35" s="30">
        <v>0</v>
      </c>
      <c r="T35" s="40"/>
      <c r="U35" s="30">
        <v>0</v>
      </c>
      <c r="V35" s="30"/>
      <c r="W35" s="30">
        <v>0</v>
      </c>
      <c r="X35" s="30"/>
      <c r="Y35" s="30">
        <v>0</v>
      </c>
      <c r="Z35" s="30"/>
      <c r="AA35" s="30">
        <v>0</v>
      </c>
      <c r="AB35" s="30"/>
      <c r="AC35" s="40">
        <f t="shared" si="1"/>
        <v>0</v>
      </c>
      <c r="AD35" s="41"/>
      <c r="AE35" s="30">
        <v>0</v>
      </c>
      <c r="AG35" s="30">
        <v>0</v>
      </c>
      <c r="AI35" s="30">
        <v>0</v>
      </c>
      <c r="AK35" s="32">
        <f>+GenRev!Q33-GenExp!AC35-AE35+GenRev!S33+AG35+AI35-'Gen Fd BS'!O33</f>
        <v>0</v>
      </c>
    </row>
    <row r="36" spans="1:37" s="32" customFormat="1" ht="12">
      <c r="A36" s="23" t="s">
        <v>32</v>
      </c>
      <c r="B36" s="23"/>
      <c r="C36" s="30">
        <f>73017*1000</f>
        <v>73017000</v>
      </c>
      <c r="D36" s="30"/>
      <c r="E36" s="30">
        <f>64487*1000</f>
        <v>64487000</v>
      </c>
      <c r="F36" s="30"/>
      <c r="G36" s="30">
        <f>101561*1000</f>
        <v>101561000</v>
      </c>
      <c r="H36" s="30"/>
      <c r="I36" s="30">
        <f>439*1000</f>
        <v>439000</v>
      </c>
      <c r="J36" s="30"/>
      <c r="K36" s="30">
        <v>0</v>
      </c>
      <c r="L36" s="30"/>
      <c r="M36" s="30">
        <f>3777*1000</f>
        <v>3777000</v>
      </c>
      <c r="N36" s="30"/>
      <c r="O36" s="30">
        <f>1924*1000</f>
        <v>1924000</v>
      </c>
      <c r="P36" s="30"/>
      <c r="Q36" s="30">
        <v>0</v>
      </c>
      <c r="R36" s="30"/>
      <c r="S36" s="30">
        <v>0</v>
      </c>
      <c r="T36" s="40"/>
      <c r="U36" s="30">
        <f>1514*1000</f>
        <v>1514000</v>
      </c>
      <c r="V36" s="30"/>
      <c r="W36" s="30">
        <f>5303*1000</f>
        <v>5303000</v>
      </c>
      <c r="X36" s="30"/>
      <c r="Y36" s="30">
        <f>368*1000</f>
        <v>368000</v>
      </c>
      <c r="Z36" s="30"/>
      <c r="AA36" s="30">
        <f>63*1000</f>
        <v>63000</v>
      </c>
      <c r="AB36" s="30"/>
      <c r="AC36" s="40">
        <f t="shared" si="1"/>
        <v>252453000</v>
      </c>
      <c r="AD36" s="41"/>
      <c r="AE36" s="30">
        <f>24319*1000</f>
        <v>24319000</v>
      </c>
      <c r="AG36" s="30">
        <f>184720*1000</f>
        <v>184720000</v>
      </c>
      <c r="AI36" s="30">
        <v>0</v>
      </c>
      <c r="AK36" s="32">
        <f>+GenRev!Q34-GenExp!AC36-AE36+GenRev!S34+AG36+AI36-'Gen Fd BS'!O34</f>
        <v>0</v>
      </c>
    </row>
    <row r="37" spans="1:37" s="32" customFormat="1" ht="12">
      <c r="A37" s="23" t="s">
        <v>33</v>
      </c>
      <c r="B37" s="23"/>
      <c r="C37" s="30">
        <v>4746124</v>
      </c>
      <c r="D37" s="30"/>
      <c r="E37" s="30">
        <v>1536722</v>
      </c>
      <c r="F37" s="30"/>
      <c r="G37" s="30">
        <v>3096018</v>
      </c>
      <c r="H37" s="30"/>
      <c r="I37" s="30">
        <v>44717</v>
      </c>
      <c r="J37" s="30"/>
      <c r="K37" s="30">
        <v>75239</v>
      </c>
      <c r="L37" s="30"/>
      <c r="M37" s="30">
        <v>521314</v>
      </c>
      <c r="N37" s="30"/>
      <c r="O37" s="30">
        <v>0</v>
      </c>
      <c r="P37" s="30"/>
      <c r="Q37" s="30">
        <v>0</v>
      </c>
      <c r="R37" s="30"/>
      <c r="S37" s="30">
        <v>22806</v>
      </c>
      <c r="T37" s="40"/>
      <c r="U37" s="30">
        <v>93339</v>
      </c>
      <c r="V37" s="30"/>
      <c r="W37" s="30">
        <v>996963</v>
      </c>
      <c r="X37" s="30"/>
      <c r="Y37" s="30">
        <v>2127</v>
      </c>
      <c r="Z37" s="30"/>
      <c r="AA37" s="30">
        <v>898</v>
      </c>
      <c r="AB37" s="30"/>
      <c r="AC37" s="40">
        <f t="shared" si="1"/>
        <v>11136267</v>
      </c>
      <c r="AD37" s="41"/>
      <c r="AE37" s="30">
        <v>194802</v>
      </c>
      <c r="AG37" s="30">
        <v>4457806</v>
      </c>
      <c r="AI37" s="30">
        <v>0</v>
      </c>
      <c r="AK37" s="32">
        <f>+GenRev!Q35-GenExp!AC37-AE37+GenRev!S35+AG37+AI37-'Gen Fd BS'!O35</f>
        <v>0</v>
      </c>
    </row>
    <row r="38" spans="1:37" s="32" customFormat="1" ht="12">
      <c r="A38" s="23" t="s">
        <v>34</v>
      </c>
      <c r="B38" s="23"/>
      <c r="C38" s="30">
        <v>2500380</v>
      </c>
      <c r="D38" s="30"/>
      <c r="E38" s="30">
        <v>899375</v>
      </c>
      <c r="F38" s="30"/>
      <c r="G38" s="30">
        <v>2502073</v>
      </c>
      <c r="H38" s="30"/>
      <c r="I38" s="30">
        <v>87585</v>
      </c>
      <c r="J38" s="30"/>
      <c r="K38" s="30">
        <v>44432</v>
      </c>
      <c r="L38" s="30"/>
      <c r="M38" s="30">
        <v>478409</v>
      </c>
      <c r="N38" s="30"/>
      <c r="O38" s="30">
        <v>0</v>
      </c>
      <c r="P38" s="30"/>
      <c r="Q38" s="30">
        <v>0</v>
      </c>
      <c r="R38" s="30"/>
      <c r="S38" s="30">
        <v>426437</v>
      </c>
      <c r="T38" s="40"/>
      <c r="U38" s="30">
        <v>547647</v>
      </c>
      <c r="V38" s="30"/>
      <c r="W38" s="30">
        <v>0</v>
      </c>
      <c r="X38" s="30"/>
      <c r="Y38" s="30">
        <v>3106</v>
      </c>
      <c r="Z38" s="30"/>
      <c r="AA38" s="30">
        <v>322</v>
      </c>
      <c r="AB38" s="30"/>
      <c r="AC38" s="40">
        <f t="shared" si="1"/>
        <v>7489766</v>
      </c>
      <c r="AD38" s="41"/>
      <c r="AE38" s="30">
        <v>920538</v>
      </c>
      <c r="AG38" s="30">
        <v>1703262</v>
      </c>
      <c r="AI38" s="30">
        <v>0</v>
      </c>
      <c r="AK38" s="32">
        <f>+GenRev!Q36-GenExp!AC38-AE38+GenRev!S36+AG38+AI38-'Gen Fd BS'!O36</f>
        <v>0</v>
      </c>
    </row>
    <row r="39" spans="1:37" s="32" customFormat="1" ht="12">
      <c r="A39" s="23" t="s">
        <v>35</v>
      </c>
      <c r="B39" s="23"/>
      <c r="C39" s="30">
        <v>9805687</v>
      </c>
      <c r="D39" s="30"/>
      <c r="E39" s="30">
        <v>2652805</v>
      </c>
      <c r="F39" s="30"/>
      <c r="G39" s="30">
        <v>10620797</v>
      </c>
      <c r="H39" s="30"/>
      <c r="I39" s="30">
        <v>161734</v>
      </c>
      <c r="J39" s="30"/>
      <c r="K39" s="30">
        <v>526395</v>
      </c>
      <c r="L39" s="30"/>
      <c r="M39" s="30">
        <v>298610</v>
      </c>
      <c r="N39" s="30"/>
      <c r="O39" s="30">
        <v>0</v>
      </c>
      <c r="P39" s="30"/>
      <c r="Q39" s="30">
        <v>0</v>
      </c>
      <c r="R39" s="30"/>
      <c r="S39" s="30">
        <v>0</v>
      </c>
      <c r="T39" s="40"/>
      <c r="U39" s="30">
        <v>0</v>
      </c>
      <c r="V39" s="30"/>
      <c r="W39" s="30">
        <v>0</v>
      </c>
      <c r="X39" s="30"/>
      <c r="Y39" s="30">
        <v>27593</v>
      </c>
      <c r="Z39" s="30"/>
      <c r="AA39" s="30">
        <v>2389</v>
      </c>
      <c r="AB39" s="30"/>
      <c r="AC39" s="40">
        <f t="shared" si="1"/>
        <v>24096010</v>
      </c>
      <c r="AD39" s="41"/>
      <c r="AE39" s="30">
        <v>5701330</v>
      </c>
      <c r="AG39" s="30">
        <v>6243596</v>
      </c>
      <c r="AI39" s="30">
        <v>0</v>
      </c>
      <c r="AK39" s="32">
        <f>+GenRev!Q37-GenExp!AC39-AE39+GenRev!S37+AG39+AI39-'Gen Fd BS'!O37</f>
        <v>0</v>
      </c>
    </row>
    <row r="40" spans="1:37" s="32" customFormat="1" ht="12">
      <c r="A40" s="23" t="s">
        <v>182</v>
      </c>
      <c r="B40" s="23"/>
      <c r="C40" s="30">
        <v>16276737</v>
      </c>
      <c r="D40" s="30"/>
      <c r="E40" s="30">
        <v>7112711</v>
      </c>
      <c r="F40" s="30"/>
      <c r="G40" s="30">
        <v>15584895</v>
      </c>
      <c r="H40" s="30"/>
      <c r="I40" s="30">
        <v>850872</v>
      </c>
      <c r="J40" s="30"/>
      <c r="K40" s="30">
        <v>207892</v>
      </c>
      <c r="L40" s="30"/>
      <c r="M40" s="30">
        <v>769144</v>
      </c>
      <c r="N40" s="30"/>
      <c r="O40" s="30">
        <v>497842</v>
      </c>
      <c r="P40" s="30"/>
      <c r="Q40" s="30">
        <v>2710484</v>
      </c>
      <c r="R40" s="30"/>
      <c r="S40" s="30">
        <v>0</v>
      </c>
      <c r="T40" s="40"/>
      <c r="U40" s="30">
        <v>0</v>
      </c>
      <c r="V40" s="30"/>
      <c r="W40" s="30">
        <v>0</v>
      </c>
      <c r="X40" s="30"/>
      <c r="Y40" s="30">
        <v>770000</v>
      </c>
      <c r="Z40" s="30"/>
      <c r="AA40" s="30">
        <v>15580</v>
      </c>
      <c r="AB40" s="30"/>
      <c r="AC40" s="40">
        <f t="shared" si="1"/>
        <v>44796157</v>
      </c>
      <c r="AD40" s="41"/>
      <c r="AE40" s="30">
        <v>2880434</v>
      </c>
      <c r="AG40" s="30">
        <v>12660312</v>
      </c>
      <c r="AI40" s="30">
        <v>0</v>
      </c>
      <c r="AK40" s="32">
        <f>+GenRev!Q38-GenExp!AC40-AE40+GenRev!S38+AG40+AI40-'Gen Fd BS'!O38</f>
        <v>0</v>
      </c>
    </row>
    <row r="41" spans="1:37" s="32" customFormat="1" ht="12" hidden="1">
      <c r="A41" s="23" t="s">
        <v>244</v>
      </c>
      <c r="B41" s="2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0"/>
      <c r="U41" s="30"/>
      <c r="V41" s="30"/>
      <c r="W41" s="30"/>
      <c r="X41" s="30"/>
      <c r="Y41" s="30"/>
      <c r="Z41" s="30"/>
      <c r="AA41" s="30"/>
      <c r="AB41" s="30"/>
      <c r="AC41" s="40">
        <f t="shared" si="1"/>
        <v>0</v>
      </c>
      <c r="AD41" s="41"/>
      <c r="AE41" s="30"/>
      <c r="AG41" s="30"/>
      <c r="AI41" s="30"/>
      <c r="AK41" s="32">
        <f>+GenRev!Q39-GenExp!AC41-AE41+GenRev!S39+AG41+AI41-'Gen Fd BS'!O39</f>
        <v>0</v>
      </c>
    </row>
    <row r="42" spans="1:37" s="32" customFormat="1" ht="12">
      <c r="A42" s="23" t="s">
        <v>37</v>
      </c>
      <c r="B42" s="23"/>
      <c r="C42" s="30">
        <v>54826000</v>
      </c>
      <c r="D42" s="30"/>
      <c r="E42" s="30">
        <v>97136000</v>
      </c>
      <c r="F42" s="30"/>
      <c r="G42" s="30">
        <v>98374000</v>
      </c>
      <c r="H42" s="30"/>
      <c r="I42" s="30">
        <v>2159000</v>
      </c>
      <c r="J42" s="30"/>
      <c r="K42" s="30">
        <v>0</v>
      </c>
      <c r="L42" s="30"/>
      <c r="M42" s="30">
        <v>1302000</v>
      </c>
      <c r="N42" s="30"/>
      <c r="O42" s="30">
        <v>820000</v>
      </c>
      <c r="P42" s="30"/>
      <c r="Q42" s="30">
        <v>0</v>
      </c>
      <c r="R42" s="30"/>
      <c r="S42" s="30">
        <v>0</v>
      </c>
      <c r="T42" s="40"/>
      <c r="U42" s="30">
        <v>0</v>
      </c>
      <c r="V42" s="30"/>
      <c r="W42" s="30">
        <v>0</v>
      </c>
      <c r="X42" s="30"/>
      <c r="Y42" s="30">
        <v>0</v>
      </c>
      <c r="Z42" s="30"/>
      <c r="AA42" s="30">
        <v>0</v>
      </c>
      <c r="AB42" s="30"/>
      <c r="AC42" s="40">
        <f t="shared" si="1"/>
        <v>254617000</v>
      </c>
      <c r="AD42" s="41"/>
      <c r="AE42" s="30">
        <v>11788000</v>
      </c>
      <c r="AG42" s="30">
        <v>65748000</v>
      </c>
      <c r="AI42" s="30">
        <v>0</v>
      </c>
      <c r="AK42" s="32">
        <f>+GenRev!Q40-GenExp!AC42-AE42+GenRev!S40+AG42+AI42-'Gen Fd BS'!O40</f>
        <v>0</v>
      </c>
    </row>
    <row r="43" spans="1:37" s="32" customFormat="1" ht="12">
      <c r="A43" s="23" t="s">
        <v>38</v>
      </c>
      <c r="B43" s="23"/>
      <c r="C43" s="30">
        <v>6084979</v>
      </c>
      <c r="D43" s="30"/>
      <c r="E43" s="30">
        <v>2964592</v>
      </c>
      <c r="F43" s="30"/>
      <c r="G43" s="30">
        <v>6418239</v>
      </c>
      <c r="H43" s="30"/>
      <c r="I43" s="30">
        <v>110955</v>
      </c>
      <c r="J43" s="30"/>
      <c r="K43" s="30">
        <v>500885</v>
      </c>
      <c r="L43" s="30"/>
      <c r="M43" s="30">
        <v>502170</v>
      </c>
      <c r="N43" s="30"/>
      <c r="O43" s="30">
        <v>0</v>
      </c>
      <c r="P43" s="30"/>
      <c r="Q43" s="30">
        <v>0</v>
      </c>
      <c r="R43" s="30"/>
      <c r="S43" s="30">
        <v>0</v>
      </c>
      <c r="T43" s="40"/>
      <c r="U43" s="30">
        <v>0</v>
      </c>
      <c r="V43" s="30"/>
      <c r="W43" s="30">
        <v>426057</v>
      </c>
      <c r="X43" s="30"/>
      <c r="Y43" s="30">
        <v>8913</v>
      </c>
      <c r="Z43" s="30"/>
      <c r="AA43" s="30">
        <v>0</v>
      </c>
      <c r="AB43" s="30"/>
      <c r="AC43" s="40">
        <f t="shared" si="1"/>
        <v>17016790</v>
      </c>
      <c r="AD43" s="41"/>
      <c r="AE43" s="30">
        <v>101771</v>
      </c>
      <c r="AG43" s="30">
        <v>5373368</v>
      </c>
      <c r="AI43" s="30">
        <v>0</v>
      </c>
      <c r="AK43" s="32">
        <f>+GenRev!Q41-GenExp!AC43-AE43+GenRev!S41+AG43+AI43-'Gen Fd BS'!O41</f>
        <v>0</v>
      </c>
    </row>
    <row r="44" spans="1:37" s="32" customFormat="1" ht="12" hidden="1">
      <c r="A44" s="23" t="s">
        <v>168</v>
      </c>
      <c r="B44" s="2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40"/>
      <c r="U44" s="30"/>
      <c r="V44" s="30"/>
      <c r="W44" s="30"/>
      <c r="X44" s="30"/>
      <c r="Y44" s="30"/>
      <c r="Z44" s="30"/>
      <c r="AA44" s="30"/>
      <c r="AB44" s="30"/>
      <c r="AC44" s="40">
        <f t="shared" si="1"/>
        <v>0</v>
      </c>
      <c r="AD44" s="41"/>
      <c r="AE44" s="30"/>
      <c r="AG44" s="30"/>
      <c r="AI44" s="30"/>
      <c r="AK44" s="32">
        <f>+GenRev!Q42-GenExp!AC44-AE44+GenRev!S42+AG44+AI44-'Gen Fd BS'!O42</f>
        <v>0</v>
      </c>
    </row>
    <row r="45" spans="1:37" s="32" customFormat="1" ht="12" hidden="1">
      <c r="A45" s="23" t="s">
        <v>39</v>
      </c>
      <c r="B45" s="2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40"/>
      <c r="U45" s="30"/>
      <c r="V45" s="30"/>
      <c r="W45" s="30"/>
      <c r="X45" s="30"/>
      <c r="Y45" s="30"/>
      <c r="Z45" s="30"/>
      <c r="AA45" s="30"/>
      <c r="AB45" s="30"/>
      <c r="AC45" s="40">
        <f t="shared" si="1"/>
        <v>0</v>
      </c>
      <c r="AD45" s="41"/>
      <c r="AE45" s="30"/>
      <c r="AG45" s="30"/>
      <c r="AI45" s="30"/>
      <c r="AK45" s="32">
        <f>+GenRev!Q43-GenExp!AC45-AE45+GenRev!S43+AG45+AI45-'Gen Fd BS'!O43</f>
        <v>0</v>
      </c>
    </row>
    <row r="46" spans="1:37" s="32" customFormat="1" ht="12">
      <c r="A46" s="23" t="s">
        <v>40</v>
      </c>
      <c r="B46" s="23"/>
      <c r="C46" s="30">
        <v>1947336</v>
      </c>
      <c r="D46" s="30"/>
      <c r="E46" s="30">
        <v>903078</v>
      </c>
      <c r="F46" s="30"/>
      <c r="G46" s="30">
        <v>2081735</v>
      </c>
      <c r="H46" s="30"/>
      <c r="I46" s="30">
        <v>124429</v>
      </c>
      <c r="J46" s="30"/>
      <c r="K46" s="30">
        <v>54847</v>
      </c>
      <c r="L46" s="30"/>
      <c r="M46" s="30">
        <v>306007</v>
      </c>
      <c r="N46" s="30"/>
      <c r="O46" s="30">
        <v>470</v>
      </c>
      <c r="P46" s="30"/>
      <c r="Q46" s="30">
        <v>0</v>
      </c>
      <c r="R46" s="30"/>
      <c r="S46" s="30">
        <v>670899</v>
      </c>
      <c r="T46" s="40"/>
      <c r="U46" s="30">
        <v>13515</v>
      </c>
      <c r="V46" s="30"/>
      <c r="W46" s="30">
        <v>0</v>
      </c>
      <c r="X46" s="30"/>
      <c r="Y46" s="30">
        <v>0</v>
      </c>
      <c r="Z46" s="30"/>
      <c r="AA46" s="30">
        <v>0</v>
      </c>
      <c r="AB46" s="30"/>
      <c r="AC46" s="40">
        <f t="shared" si="1"/>
        <v>6102316</v>
      </c>
      <c r="AD46" s="41"/>
      <c r="AE46" s="30">
        <v>634030</v>
      </c>
      <c r="AG46" s="30">
        <v>3284067</v>
      </c>
      <c r="AI46" s="30">
        <v>0</v>
      </c>
      <c r="AK46" s="32">
        <f>+GenRev!Q44-GenExp!AC46-AE46+GenRev!S44+AG46+AI46-'Gen Fd BS'!O44</f>
        <v>0</v>
      </c>
    </row>
    <row r="47" spans="1:37" s="32" customFormat="1" ht="12" hidden="1">
      <c r="A47" s="23" t="s">
        <v>41</v>
      </c>
      <c r="B47" s="23"/>
      <c r="C47" s="30">
        <v>0</v>
      </c>
      <c r="D47" s="30"/>
      <c r="E47" s="30">
        <v>0</v>
      </c>
      <c r="F47" s="30"/>
      <c r="G47" s="30">
        <v>0</v>
      </c>
      <c r="H47" s="30"/>
      <c r="I47" s="30">
        <v>0</v>
      </c>
      <c r="J47" s="30"/>
      <c r="K47" s="30">
        <v>0</v>
      </c>
      <c r="L47" s="30"/>
      <c r="M47" s="30">
        <v>0</v>
      </c>
      <c r="N47" s="30"/>
      <c r="O47" s="30">
        <v>0</v>
      </c>
      <c r="P47" s="30"/>
      <c r="Q47" s="30">
        <v>0</v>
      </c>
      <c r="R47" s="30"/>
      <c r="S47" s="30">
        <v>0</v>
      </c>
      <c r="T47" s="40"/>
      <c r="U47" s="30">
        <v>0</v>
      </c>
      <c r="V47" s="30"/>
      <c r="W47" s="30">
        <v>0</v>
      </c>
      <c r="X47" s="30"/>
      <c r="Y47" s="30">
        <v>0</v>
      </c>
      <c r="Z47" s="30"/>
      <c r="AA47" s="30">
        <v>0</v>
      </c>
      <c r="AB47" s="30"/>
      <c r="AC47" s="40">
        <f t="shared" si="1"/>
        <v>0</v>
      </c>
      <c r="AD47" s="41"/>
      <c r="AE47" s="30">
        <v>0</v>
      </c>
      <c r="AG47" s="30">
        <v>0</v>
      </c>
      <c r="AI47" s="30">
        <v>0</v>
      </c>
      <c r="AK47" s="32">
        <f>+GenRev!Q45-GenExp!AC47-AE47+GenRev!S45+AG47+AI47-'Gen Fd BS'!O45</f>
        <v>0</v>
      </c>
    </row>
    <row r="48" spans="1:37" s="32" customFormat="1" ht="12">
      <c r="A48" s="23" t="s">
        <v>42</v>
      </c>
      <c r="B48" s="23"/>
      <c r="C48" s="30">
        <v>1947599</v>
      </c>
      <c r="D48" s="30"/>
      <c r="E48" s="30">
        <v>1380662</v>
      </c>
      <c r="F48" s="30"/>
      <c r="G48" s="30">
        <v>1775515</v>
      </c>
      <c r="H48" s="30"/>
      <c r="I48" s="30">
        <v>36725</v>
      </c>
      <c r="J48" s="30"/>
      <c r="K48" s="30">
        <v>55757</v>
      </c>
      <c r="L48" s="30"/>
      <c r="M48" s="30">
        <v>352940</v>
      </c>
      <c r="N48" s="30"/>
      <c r="O48" s="30">
        <v>44665</v>
      </c>
      <c r="P48" s="30"/>
      <c r="Q48" s="30">
        <v>249222</v>
      </c>
      <c r="R48" s="30"/>
      <c r="S48" s="30">
        <v>71400</v>
      </c>
      <c r="T48" s="40"/>
      <c r="U48" s="30">
        <v>39490</v>
      </c>
      <c r="V48" s="30"/>
      <c r="W48" s="30">
        <v>12982</v>
      </c>
      <c r="X48" s="30"/>
      <c r="Y48" s="30">
        <v>37760</v>
      </c>
      <c r="Z48" s="30"/>
      <c r="AA48" s="30">
        <v>3645</v>
      </c>
      <c r="AB48" s="30"/>
      <c r="AC48" s="40">
        <f t="shared" si="1"/>
        <v>6008362</v>
      </c>
      <c r="AD48" s="41"/>
      <c r="AE48" s="30">
        <v>785252</v>
      </c>
      <c r="AG48" s="30">
        <v>2562422</v>
      </c>
      <c r="AI48" s="30">
        <v>0</v>
      </c>
      <c r="AK48" s="32">
        <f>+GenRev!Q46-GenExp!AC48-AE48+GenRev!S46+AG48+AI48-'Gen Fd BS'!O46</f>
        <v>0</v>
      </c>
    </row>
    <row r="49" spans="1:37" s="32" customFormat="1" ht="12">
      <c r="A49" s="23" t="s">
        <v>43</v>
      </c>
      <c r="B49" s="23"/>
      <c r="C49" s="30">
        <v>3762626</v>
      </c>
      <c r="D49" s="30"/>
      <c r="E49" s="30">
        <v>1653771</v>
      </c>
      <c r="F49" s="30"/>
      <c r="G49" s="30">
        <v>3559914</v>
      </c>
      <c r="H49" s="30"/>
      <c r="I49" s="30">
        <v>60629</v>
      </c>
      <c r="J49" s="30"/>
      <c r="K49" s="30">
        <v>75405</v>
      </c>
      <c r="L49" s="30"/>
      <c r="M49" s="30">
        <v>277042</v>
      </c>
      <c r="N49" s="30"/>
      <c r="O49" s="30">
        <v>0</v>
      </c>
      <c r="P49" s="30"/>
      <c r="Q49" s="30">
        <v>301356</v>
      </c>
      <c r="R49" s="30"/>
      <c r="S49" s="30">
        <v>0</v>
      </c>
      <c r="T49" s="40"/>
      <c r="U49" s="30">
        <v>0</v>
      </c>
      <c r="V49" s="30"/>
      <c r="W49" s="30">
        <v>160000</v>
      </c>
      <c r="X49" s="30"/>
      <c r="Y49" s="30">
        <v>0</v>
      </c>
      <c r="Z49" s="30"/>
      <c r="AA49" s="30">
        <v>0</v>
      </c>
      <c r="AB49" s="30"/>
      <c r="AC49" s="40">
        <f t="shared" si="1"/>
        <v>9850743</v>
      </c>
      <c r="AD49" s="41"/>
      <c r="AE49" s="30">
        <v>776996</v>
      </c>
      <c r="AG49" s="30">
        <v>1726379</v>
      </c>
      <c r="AI49" s="30">
        <v>0</v>
      </c>
      <c r="AK49" s="32">
        <f>+GenRev!Q47-GenExp!AC49-AE49+GenRev!S47+AG49+AI49-'Gen Fd BS'!O47</f>
        <v>0</v>
      </c>
    </row>
    <row r="50" spans="1:37" s="32" customFormat="1" ht="12">
      <c r="A50" s="23" t="s">
        <v>44</v>
      </c>
      <c r="B50" s="23"/>
      <c r="C50" s="30">
        <v>5127406</v>
      </c>
      <c r="D50" s="30"/>
      <c r="E50" s="30">
        <v>2310000</v>
      </c>
      <c r="F50" s="30"/>
      <c r="G50" s="30">
        <v>4850800</v>
      </c>
      <c r="H50" s="30"/>
      <c r="I50" s="30">
        <v>0</v>
      </c>
      <c r="J50" s="30"/>
      <c r="K50" s="30">
        <v>118382</v>
      </c>
      <c r="L50" s="30"/>
      <c r="M50" s="30">
        <v>276172</v>
      </c>
      <c r="N50" s="30"/>
      <c r="O50" s="30">
        <v>0</v>
      </c>
      <c r="P50" s="30"/>
      <c r="Q50" s="30">
        <v>0</v>
      </c>
      <c r="R50" s="30"/>
      <c r="S50" s="30">
        <v>360720</v>
      </c>
      <c r="T50" s="40"/>
      <c r="U50" s="30">
        <v>33866</v>
      </c>
      <c r="V50" s="30"/>
      <c r="W50" s="30">
        <v>0</v>
      </c>
      <c r="X50" s="30"/>
      <c r="Y50" s="30">
        <v>0</v>
      </c>
      <c r="Z50" s="30"/>
      <c r="AA50" s="30">
        <v>0</v>
      </c>
      <c r="AB50" s="30"/>
      <c r="AC50" s="40">
        <f t="shared" si="1"/>
        <v>13077346</v>
      </c>
      <c r="AD50" s="41"/>
      <c r="AE50" s="30">
        <v>1745824</v>
      </c>
      <c r="AG50" s="30">
        <v>3287107</v>
      </c>
      <c r="AI50" s="30">
        <v>0</v>
      </c>
      <c r="AK50" s="32">
        <f>+GenRev!Q48-GenExp!AC50-AE50+GenRev!S48+AG50+AI50-'Gen Fd BS'!O48</f>
        <v>0</v>
      </c>
    </row>
    <row r="51" spans="1:37" s="32" customFormat="1" ht="12" hidden="1">
      <c r="A51" s="23" t="s">
        <v>241</v>
      </c>
      <c r="B51" s="2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40"/>
      <c r="U51" s="30"/>
      <c r="V51" s="30"/>
      <c r="W51" s="30"/>
      <c r="X51" s="30"/>
      <c r="Y51" s="30"/>
      <c r="Z51" s="30"/>
      <c r="AA51" s="30"/>
      <c r="AB51" s="30"/>
      <c r="AC51" s="40">
        <f t="shared" si="1"/>
        <v>0</v>
      </c>
      <c r="AD51" s="41"/>
      <c r="AE51" s="30"/>
      <c r="AG51" s="30"/>
      <c r="AI51" s="30"/>
      <c r="AK51" s="32">
        <f>+GenRev!Q49-GenExp!AC51-AE51+GenRev!S49+AG51+AI51-'Gen Fd BS'!O49</f>
        <v>0</v>
      </c>
    </row>
    <row r="52" spans="1:37" s="32" customFormat="1" ht="12">
      <c r="A52" s="23" t="s">
        <v>46</v>
      </c>
      <c r="B52" s="23"/>
      <c r="C52" s="30">
        <v>5036731</v>
      </c>
      <c r="D52" s="30"/>
      <c r="E52" s="30">
        <v>3636225</v>
      </c>
      <c r="F52" s="30"/>
      <c r="G52" s="30">
        <v>455757</v>
      </c>
      <c r="H52" s="30"/>
      <c r="I52" s="30">
        <v>0</v>
      </c>
      <c r="J52" s="30"/>
      <c r="K52" s="30">
        <v>246082</v>
      </c>
      <c r="L52" s="30"/>
      <c r="M52" s="30">
        <v>913440</v>
      </c>
      <c r="N52" s="30"/>
      <c r="O52" s="30">
        <v>0</v>
      </c>
      <c r="P52" s="30"/>
      <c r="Q52" s="30">
        <v>413607</v>
      </c>
      <c r="R52" s="30"/>
      <c r="S52" s="30">
        <v>414987</v>
      </c>
      <c r="T52" s="40"/>
      <c r="U52" s="30">
        <v>65900</v>
      </c>
      <c r="V52" s="30"/>
      <c r="W52" s="30">
        <v>0</v>
      </c>
      <c r="X52" s="30"/>
      <c r="Y52" s="30">
        <v>22891</v>
      </c>
      <c r="Z52" s="30"/>
      <c r="AA52" s="30">
        <v>9683</v>
      </c>
      <c r="AB52" s="30"/>
      <c r="AC52" s="40">
        <f t="shared" si="1"/>
        <v>11215303</v>
      </c>
      <c r="AD52" s="41"/>
      <c r="AE52" s="30">
        <v>2867630</v>
      </c>
      <c r="AG52" s="30">
        <v>3535934</v>
      </c>
      <c r="AI52" s="30">
        <v>0</v>
      </c>
      <c r="AK52" s="32">
        <f>+GenRev!Q50-GenExp!AC52-AE52+GenRev!S50+AG52+AI52-'Gen Fd BS'!O50</f>
        <v>0</v>
      </c>
    </row>
    <row r="53" spans="1:37" s="32" customFormat="1" ht="12">
      <c r="A53" s="23" t="s">
        <v>47</v>
      </c>
      <c r="B53" s="23"/>
      <c r="C53" s="30">
        <v>5176308</v>
      </c>
      <c r="D53" s="30"/>
      <c r="E53" s="30">
        <v>1945819</v>
      </c>
      <c r="F53" s="30"/>
      <c r="G53" s="30">
        <v>3625131</v>
      </c>
      <c r="H53" s="30"/>
      <c r="I53" s="30">
        <v>201715</v>
      </c>
      <c r="J53" s="30"/>
      <c r="K53" s="30">
        <v>161580</v>
      </c>
      <c r="L53" s="30"/>
      <c r="M53" s="30">
        <v>512754</v>
      </c>
      <c r="N53" s="30"/>
      <c r="O53" s="30">
        <v>0</v>
      </c>
      <c r="P53" s="30"/>
      <c r="Q53" s="30">
        <v>0</v>
      </c>
      <c r="R53" s="30"/>
      <c r="S53" s="30">
        <v>0</v>
      </c>
      <c r="T53" s="40"/>
      <c r="U53" s="30">
        <v>417713</v>
      </c>
      <c r="V53" s="30"/>
      <c r="W53" s="30">
        <v>0</v>
      </c>
      <c r="X53" s="30"/>
      <c r="Y53" s="30">
        <v>0</v>
      </c>
      <c r="Z53" s="30"/>
      <c r="AA53" s="30">
        <v>0</v>
      </c>
      <c r="AB53" s="30"/>
      <c r="AC53" s="40">
        <f t="shared" si="1"/>
        <v>12041020</v>
      </c>
      <c r="AD53" s="41"/>
      <c r="AE53" s="30">
        <v>1338628</v>
      </c>
      <c r="AG53" s="30">
        <f>2486085</f>
        <v>2486085</v>
      </c>
      <c r="AI53" s="30">
        <v>-288</v>
      </c>
      <c r="AK53" s="32">
        <f>+GenRev!Q51-GenExp!AC53-AE53+GenRev!S51+AG53+AI53-'Gen Fd BS'!O51</f>
        <v>0</v>
      </c>
    </row>
    <row r="54" spans="1:37" s="32" customFormat="1" ht="12">
      <c r="A54" s="23" t="s">
        <v>48</v>
      </c>
      <c r="B54" s="23"/>
      <c r="C54" s="30">
        <v>13836195</v>
      </c>
      <c r="D54" s="30"/>
      <c r="E54" s="30">
        <v>35180266</v>
      </c>
      <c r="F54" s="30"/>
      <c r="G54" s="30">
        <v>0</v>
      </c>
      <c r="H54" s="30"/>
      <c r="I54" s="30">
        <v>263459</v>
      </c>
      <c r="J54" s="30"/>
      <c r="K54" s="30">
        <v>177954</v>
      </c>
      <c r="L54" s="30"/>
      <c r="M54" s="30">
        <v>1209435</v>
      </c>
      <c r="N54" s="30"/>
      <c r="O54" s="30">
        <v>202150</v>
      </c>
      <c r="P54" s="30"/>
      <c r="Q54" s="30">
        <v>0</v>
      </c>
      <c r="R54" s="30"/>
      <c r="S54" s="30">
        <v>0</v>
      </c>
      <c r="T54" s="40"/>
      <c r="U54" s="30">
        <v>0</v>
      </c>
      <c r="V54" s="30"/>
      <c r="W54" s="30">
        <v>0</v>
      </c>
      <c r="X54" s="30"/>
      <c r="Y54" s="30">
        <v>0</v>
      </c>
      <c r="Z54" s="30"/>
      <c r="AA54" s="30">
        <v>0</v>
      </c>
      <c r="AB54" s="30"/>
      <c r="AC54" s="40">
        <f t="shared" si="1"/>
        <v>50869459</v>
      </c>
      <c r="AD54" s="41"/>
      <c r="AE54" s="30">
        <v>6006334</v>
      </c>
      <c r="AG54" s="30">
        <v>28295045</v>
      </c>
      <c r="AI54" s="30">
        <v>0</v>
      </c>
      <c r="AK54" s="32">
        <f>+'[1]GenRev'!Q52-'[1]GenExp'!AC52-AE54+'[1]GenRev'!S52+AG54+AI54-'[1]Gen Fd BS'!O52</f>
        <v>0</v>
      </c>
    </row>
    <row r="55" spans="1:37" s="32" customFormat="1" ht="12" hidden="1">
      <c r="A55" s="23" t="s">
        <v>170</v>
      </c>
      <c r="B55" s="2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40"/>
      <c r="U55" s="30"/>
      <c r="V55" s="30"/>
      <c r="W55" s="30"/>
      <c r="X55" s="30"/>
      <c r="Y55" s="30"/>
      <c r="Z55" s="30"/>
      <c r="AA55" s="30"/>
      <c r="AB55" s="30"/>
      <c r="AC55" s="40">
        <f t="shared" si="1"/>
        <v>0</v>
      </c>
      <c r="AD55" s="41"/>
      <c r="AE55" s="30"/>
      <c r="AG55" s="30"/>
      <c r="AI55" s="30"/>
      <c r="AK55" s="32">
        <f>+'[1]GenRev'!Q53-'[1]GenExp'!AC53-AE55+'[1]GenRev'!S53+AG55+AI55-'[1]Gen Fd BS'!O53</f>
        <v>0</v>
      </c>
    </row>
    <row r="56" spans="1:37" s="32" customFormat="1" ht="12">
      <c r="A56" s="23" t="s">
        <v>49</v>
      </c>
      <c r="B56" s="23"/>
      <c r="C56" s="30">
        <v>17724995</v>
      </c>
      <c r="D56" s="30"/>
      <c r="E56" s="30">
        <v>0</v>
      </c>
      <c r="F56" s="30"/>
      <c r="G56" s="30">
        <v>18514479</v>
      </c>
      <c r="H56" s="30"/>
      <c r="I56" s="30">
        <v>83875</v>
      </c>
      <c r="J56" s="30"/>
      <c r="K56" s="30">
        <v>276565</v>
      </c>
      <c r="L56" s="30"/>
      <c r="M56" s="30">
        <v>1904566</v>
      </c>
      <c r="N56" s="30"/>
      <c r="O56" s="30">
        <v>0</v>
      </c>
      <c r="P56" s="30"/>
      <c r="Q56" s="30">
        <v>1147499</v>
      </c>
      <c r="R56" s="30"/>
      <c r="S56" s="30">
        <v>0</v>
      </c>
      <c r="T56" s="40"/>
      <c r="U56" s="30">
        <v>671200</v>
      </c>
      <c r="V56" s="30"/>
      <c r="W56" s="30">
        <v>0</v>
      </c>
      <c r="X56" s="30"/>
      <c r="Y56" s="30">
        <v>0</v>
      </c>
      <c r="Z56" s="30"/>
      <c r="AA56" s="30">
        <v>0</v>
      </c>
      <c r="AB56" s="30"/>
      <c r="AC56" s="40">
        <f t="shared" si="1"/>
        <v>40323179</v>
      </c>
      <c r="AD56" s="41"/>
      <c r="AE56" s="30">
        <v>4141512</v>
      </c>
      <c r="AG56" s="30">
        <v>13677433</v>
      </c>
      <c r="AI56" s="30">
        <v>-14636</v>
      </c>
      <c r="AK56" s="32">
        <f>+'[1]GenRev'!Q54-'[1]GenExp'!AC54-AE56+'[1]GenRev'!S54+AG56+AI56-'[1]Gen Fd BS'!O54</f>
        <v>0</v>
      </c>
    </row>
    <row r="57" spans="1:37" s="32" customFormat="1" ht="12">
      <c r="A57" s="23" t="s">
        <v>50</v>
      </c>
      <c r="B57" s="23"/>
      <c r="C57" s="30">
        <v>5046809</v>
      </c>
      <c r="D57" s="30"/>
      <c r="E57" s="30">
        <v>1823436</v>
      </c>
      <c r="F57" s="30"/>
      <c r="G57" s="30">
        <v>5572883</v>
      </c>
      <c r="H57" s="30"/>
      <c r="I57" s="30">
        <v>133331</v>
      </c>
      <c r="J57" s="30"/>
      <c r="K57" s="30">
        <v>41025</v>
      </c>
      <c r="L57" s="30"/>
      <c r="M57" s="30">
        <v>294133</v>
      </c>
      <c r="N57" s="30"/>
      <c r="O57" s="30">
        <v>3958</v>
      </c>
      <c r="P57" s="30"/>
      <c r="Q57" s="30">
        <v>379190</v>
      </c>
      <c r="R57" s="30"/>
      <c r="S57" s="30">
        <v>0</v>
      </c>
      <c r="T57" s="40"/>
      <c r="U57" s="30">
        <v>0</v>
      </c>
      <c r="V57" s="30"/>
      <c r="W57" s="30">
        <v>0</v>
      </c>
      <c r="X57" s="30"/>
      <c r="Y57" s="30">
        <v>0</v>
      </c>
      <c r="Z57" s="30"/>
      <c r="AA57" s="30">
        <v>0</v>
      </c>
      <c r="AB57" s="30"/>
      <c r="AC57" s="40">
        <f t="shared" si="1"/>
        <v>13294765</v>
      </c>
      <c r="AD57" s="41"/>
      <c r="AE57" s="30">
        <v>3541359</v>
      </c>
      <c r="AG57" s="30">
        <v>2527018</v>
      </c>
      <c r="AI57" s="30">
        <v>11804</v>
      </c>
      <c r="AK57" s="32">
        <f>+'[1]GenRev'!Q55-'[1]GenExp'!AC55-AE57+'[1]GenRev'!S55+AG57+AI57-'[1]Gen Fd BS'!O55</f>
        <v>0</v>
      </c>
    </row>
    <row r="58" spans="1:37" s="32" customFormat="1" ht="12">
      <c r="A58" s="23" t="s">
        <v>246</v>
      </c>
      <c r="B58" s="23"/>
      <c r="C58" s="30">
        <v>27274934</v>
      </c>
      <c r="D58" s="30"/>
      <c r="E58" s="30">
        <v>15396627</v>
      </c>
      <c r="F58" s="30"/>
      <c r="G58" s="30">
        <v>7028458</v>
      </c>
      <c r="H58" s="30"/>
      <c r="I58" s="30">
        <v>264215</v>
      </c>
      <c r="J58" s="30"/>
      <c r="K58" s="30">
        <v>3261</v>
      </c>
      <c r="L58" s="30"/>
      <c r="M58" s="30">
        <v>2541803</v>
      </c>
      <c r="N58" s="30"/>
      <c r="O58" s="30">
        <v>64465</v>
      </c>
      <c r="P58" s="30"/>
      <c r="Q58" s="30">
        <v>0</v>
      </c>
      <c r="R58" s="30"/>
      <c r="S58" s="30">
        <v>0</v>
      </c>
      <c r="T58" s="40"/>
      <c r="U58" s="30">
        <v>647582</v>
      </c>
      <c r="V58" s="30"/>
      <c r="W58" s="30">
        <v>532263</v>
      </c>
      <c r="X58" s="30"/>
      <c r="Y58" s="30">
        <v>0</v>
      </c>
      <c r="Z58" s="30"/>
      <c r="AA58" s="30">
        <v>0</v>
      </c>
      <c r="AB58" s="30"/>
      <c r="AC58" s="40">
        <f t="shared" si="1"/>
        <v>53753608</v>
      </c>
      <c r="AD58" s="41"/>
      <c r="AE58" s="30">
        <v>3668617</v>
      </c>
      <c r="AG58" s="30">
        <v>35102640</v>
      </c>
      <c r="AI58" s="30">
        <v>14797</v>
      </c>
      <c r="AK58" s="32">
        <f>+'[1]GenRev'!Q56-'[1]GenExp'!AC56-AE58+'[1]GenRev'!S56+AG58+AI58-'[1]Gen Fd BS'!O56</f>
        <v>0</v>
      </c>
    </row>
    <row r="59" spans="1:37" s="32" customFormat="1" ht="12">
      <c r="A59" s="23" t="s">
        <v>183</v>
      </c>
      <c r="B59" s="23"/>
      <c r="C59" s="30">
        <v>28487512</v>
      </c>
      <c r="D59" s="30"/>
      <c r="E59" s="30">
        <v>47074240</v>
      </c>
      <c r="F59" s="30"/>
      <c r="G59" s="30">
        <v>43975531</v>
      </c>
      <c r="H59" s="30"/>
      <c r="I59" s="30">
        <v>215806</v>
      </c>
      <c r="J59" s="30"/>
      <c r="K59" s="30">
        <v>831215</v>
      </c>
      <c r="L59" s="30"/>
      <c r="M59" s="30">
        <v>1451466</v>
      </c>
      <c r="N59" s="30"/>
      <c r="O59" s="30">
        <v>0</v>
      </c>
      <c r="P59" s="30"/>
      <c r="Q59" s="30">
        <v>921701</v>
      </c>
      <c r="R59" s="30"/>
      <c r="S59" s="30">
        <v>3104368</v>
      </c>
      <c r="T59" s="40"/>
      <c r="U59" s="30">
        <v>0</v>
      </c>
      <c r="V59" s="30"/>
      <c r="W59" s="30">
        <v>0</v>
      </c>
      <c r="X59" s="30"/>
      <c r="Y59" s="30">
        <v>0</v>
      </c>
      <c r="Z59" s="30"/>
      <c r="AA59" s="30">
        <v>0</v>
      </c>
      <c r="AB59" s="30"/>
      <c r="AC59" s="40">
        <f t="shared" si="1"/>
        <v>126061839</v>
      </c>
      <c r="AD59" s="41"/>
      <c r="AE59" s="30">
        <v>20743603</v>
      </c>
      <c r="AG59" s="30">
        <v>42099877</v>
      </c>
      <c r="AI59" s="30">
        <v>0</v>
      </c>
      <c r="AK59" s="32">
        <f>+'[1]GenRev'!Q57-'[1]GenExp'!AC57-AE59+'[1]GenRev'!S57+AG59+AI59-'[1]Gen Fd BS'!O57</f>
        <v>0</v>
      </c>
    </row>
    <row r="60" spans="1:37" s="32" customFormat="1" ht="12" hidden="1">
      <c r="A60" s="23" t="s">
        <v>52</v>
      </c>
      <c r="B60" s="23"/>
      <c r="C60" s="30">
        <v>0</v>
      </c>
      <c r="D60" s="30"/>
      <c r="E60" s="30">
        <v>0</v>
      </c>
      <c r="F60" s="30"/>
      <c r="G60" s="30">
        <v>0</v>
      </c>
      <c r="H60" s="30"/>
      <c r="I60" s="30">
        <v>0</v>
      </c>
      <c r="J60" s="30"/>
      <c r="K60" s="30">
        <v>0</v>
      </c>
      <c r="L60" s="30"/>
      <c r="M60" s="30">
        <v>0</v>
      </c>
      <c r="N60" s="30"/>
      <c r="O60" s="30">
        <v>0</v>
      </c>
      <c r="P60" s="30"/>
      <c r="Q60" s="30">
        <v>0</v>
      </c>
      <c r="R60" s="30"/>
      <c r="S60" s="30">
        <v>0</v>
      </c>
      <c r="T60" s="40"/>
      <c r="U60" s="30">
        <v>0</v>
      </c>
      <c r="V60" s="30"/>
      <c r="W60" s="30">
        <v>0</v>
      </c>
      <c r="X60" s="30"/>
      <c r="Y60" s="30">
        <v>0</v>
      </c>
      <c r="Z60" s="30"/>
      <c r="AA60" s="30">
        <v>0</v>
      </c>
      <c r="AB60" s="30"/>
      <c r="AC60" s="40">
        <f t="shared" si="1"/>
        <v>0</v>
      </c>
      <c r="AD60" s="41"/>
      <c r="AE60" s="30">
        <v>0</v>
      </c>
      <c r="AG60" s="30">
        <v>0</v>
      </c>
      <c r="AI60" s="30">
        <v>0</v>
      </c>
      <c r="AK60" s="32">
        <f>+'[1]GenRev'!Q58-'[1]GenExp'!AC58-AE60+'[1]GenRev'!S58+AG60+AI60-'[1]Gen Fd BS'!O58</f>
        <v>0</v>
      </c>
    </row>
    <row r="61" spans="1:37" s="32" customFormat="1" ht="12">
      <c r="A61" s="23" t="s">
        <v>53</v>
      </c>
      <c r="B61" s="23"/>
      <c r="C61" s="30">
        <v>15146515</v>
      </c>
      <c r="D61" s="30"/>
      <c r="E61" s="30">
        <v>15264252</v>
      </c>
      <c r="F61" s="30"/>
      <c r="G61" s="30">
        <v>23404760</v>
      </c>
      <c r="H61" s="30"/>
      <c r="I61" s="30">
        <v>0</v>
      </c>
      <c r="J61" s="30"/>
      <c r="K61" s="30">
        <v>0</v>
      </c>
      <c r="L61" s="30"/>
      <c r="M61" s="30">
        <v>1305613</v>
      </c>
      <c r="N61" s="30"/>
      <c r="O61" s="30">
        <v>0</v>
      </c>
      <c r="P61" s="30"/>
      <c r="Q61" s="30">
        <v>0</v>
      </c>
      <c r="R61" s="30"/>
      <c r="S61" s="30">
        <v>0</v>
      </c>
      <c r="T61" s="40"/>
      <c r="U61" s="30">
        <v>0</v>
      </c>
      <c r="V61" s="30"/>
      <c r="W61" s="30">
        <v>0</v>
      </c>
      <c r="X61" s="30"/>
      <c r="Y61" s="30">
        <v>0</v>
      </c>
      <c r="Z61" s="30"/>
      <c r="AA61" s="30">
        <v>0</v>
      </c>
      <c r="AB61" s="30"/>
      <c r="AC61" s="40">
        <f t="shared" si="1"/>
        <v>55121140</v>
      </c>
      <c r="AD61" s="41"/>
      <c r="AE61" s="30">
        <v>3948338</v>
      </c>
      <c r="AG61" s="30">
        <v>7810444</v>
      </c>
      <c r="AI61" s="30">
        <v>0</v>
      </c>
      <c r="AK61" s="32">
        <f>+'[1]GenRev'!Q59-'[1]GenExp'!AC59-AE61+'[1]GenRev'!S59+AG61+AI61-'[1]Gen Fd BS'!O59</f>
        <v>0</v>
      </c>
    </row>
    <row r="62" spans="1:37" s="32" customFormat="1" ht="12">
      <c r="A62" s="23" t="s">
        <v>54</v>
      </c>
      <c r="B62" s="23"/>
      <c r="C62" s="30">
        <v>5333190</v>
      </c>
      <c r="D62" s="30"/>
      <c r="E62" s="30">
        <v>1815938</v>
      </c>
      <c r="F62" s="30"/>
      <c r="G62" s="30">
        <v>7265071</v>
      </c>
      <c r="H62" s="30"/>
      <c r="I62" s="30">
        <v>12815</v>
      </c>
      <c r="J62" s="30"/>
      <c r="K62" s="30">
        <v>229083</v>
      </c>
      <c r="L62" s="30"/>
      <c r="M62" s="30">
        <v>295060</v>
      </c>
      <c r="N62" s="30"/>
      <c r="O62" s="30">
        <v>0</v>
      </c>
      <c r="P62" s="30"/>
      <c r="Q62" s="30">
        <v>13000</v>
      </c>
      <c r="R62" s="30"/>
      <c r="S62" s="30">
        <v>0</v>
      </c>
      <c r="T62" s="40"/>
      <c r="U62" s="30">
        <v>0</v>
      </c>
      <c r="V62" s="30"/>
      <c r="W62" s="30">
        <f>178628+11530+185000</f>
        <v>375158</v>
      </c>
      <c r="X62" s="30"/>
      <c r="Y62" s="30">
        <v>0</v>
      </c>
      <c r="Z62" s="30"/>
      <c r="AA62" s="30">
        <v>0</v>
      </c>
      <c r="AB62" s="30"/>
      <c r="AC62" s="40">
        <f t="shared" si="1"/>
        <v>15339315</v>
      </c>
      <c r="AD62" s="41"/>
      <c r="AE62" s="30">
        <v>1337422</v>
      </c>
      <c r="AG62" s="30">
        <v>6668383</v>
      </c>
      <c r="AI62" s="30">
        <v>0</v>
      </c>
      <c r="AK62" s="32">
        <f>+'[1]GenRev'!Q60-'[1]GenExp'!AC60-AE62+'[1]GenRev'!S60+AG62+AI62-'[1]Gen Fd BS'!O60</f>
        <v>0</v>
      </c>
    </row>
    <row r="63" spans="1:37" s="32" customFormat="1" ht="12">
      <c r="A63" s="23" t="s">
        <v>55</v>
      </c>
      <c r="B63" s="23"/>
      <c r="C63" s="30">
        <v>12442192</v>
      </c>
      <c r="D63" s="30"/>
      <c r="E63" s="30">
        <v>6909827</v>
      </c>
      <c r="F63" s="30"/>
      <c r="G63" s="30">
        <v>17083704</v>
      </c>
      <c r="H63" s="30"/>
      <c r="I63" s="30">
        <v>315226</v>
      </c>
      <c r="J63" s="30"/>
      <c r="K63" s="30">
        <v>449815</v>
      </c>
      <c r="L63" s="30"/>
      <c r="M63" s="30">
        <v>3649538</v>
      </c>
      <c r="N63" s="30"/>
      <c r="O63" s="30">
        <v>95000</v>
      </c>
      <c r="P63" s="30"/>
      <c r="Q63" s="30">
        <v>0</v>
      </c>
      <c r="R63" s="30"/>
      <c r="S63" s="30">
        <v>0</v>
      </c>
      <c r="T63" s="40"/>
      <c r="U63" s="30">
        <v>0</v>
      </c>
      <c r="V63" s="30"/>
      <c r="W63" s="30">
        <v>844663</v>
      </c>
      <c r="X63" s="30"/>
      <c r="Y63" s="30">
        <v>0</v>
      </c>
      <c r="Z63" s="30"/>
      <c r="AA63" s="30">
        <v>0</v>
      </c>
      <c r="AB63" s="30"/>
      <c r="AC63" s="40">
        <f t="shared" si="1"/>
        <v>41789965</v>
      </c>
      <c r="AD63" s="41"/>
      <c r="AE63" s="30">
        <v>2263783</v>
      </c>
      <c r="AG63" s="30">
        <v>13935610</v>
      </c>
      <c r="AI63" s="30">
        <v>0</v>
      </c>
      <c r="AK63" s="32">
        <f>+'[1]GenRev'!Q61-'[1]GenExp'!AC61-AE63+'[1]GenRev'!S61+AG63+AI63-'[1]Gen Fd BS'!O61</f>
        <v>0</v>
      </c>
    </row>
    <row r="64" spans="1:37" s="32" customFormat="1" ht="12" hidden="1">
      <c r="A64" s="23" t="s">
        <v>171</v>
      </c>
      <c r="B64" s="23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40"/>
      <c r="U64" s="30"/>
      <c r="V64" s="30"/>
      <c r="W64" s="30"/>
      <c r="X64" s="30"/>
      <c r="Y64" s="30"/>
      <c r="Z64" s="30"/>
      <c r="AA64" s="30"/>
      <c r="AB64" s="30"/>
      <c r="AC64" s="40">
        <f t="shared" si="1"/>
        <v>0</v>
      </c>
      <c r="AD64" s="41"/>
      <c r="AE64" s="30"/>
      <c r="AG64" s="30"/>
      <c r="AI64" s="30"/>
      <c r="AK64" s="32">
        <f>+'[1]GenRev'!Q62-'[1]GenExp'!AC62-AE64+'[1]GenRev'!S62+AG64+AI64-'[1]Gen Fd BS'!O62</f>
        <v>0</v>
      </c>
    </row>
    <row r="65" spans="1:37" s="32" customFormat="1" ht="12" hidden="1">
      <c r="A65" s="23" t="s">
        <v>56</v>
      </c>
      <c r="B65" s="2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40"/>
      <c r="U65" s="30"/>
      <c r="V65" s="30"/>
      <c r="W65" s="30"/>
      <c r="X65" s="30"/>
      <c r="Y65" s="30"/>
      <c r="Z65" s="30"/>
      <c r="AA65" s="30"/>
      <c r="AB65" s="30"/>
      <c r="AC65" s="40">
        <f t="shared" si="1"/>
        <v>0</v>
      </c>
      <c r="AD65" s="41"/>
      <c r="AE65" s="30"/>
      <c r="AG65" s="30"/>
      <c r="AI65" s="30"/>
      <c r="AK65" s="32" t="e">
        <f>+'[1]GenRev'!Q63-'[1]GenExp'!AC63-AE65+'[1]GenRev'!S63+AG65+AI65-'[1]Gen Fd BS'!O63</f>
        <v>#REF!</v>
      </c>
    </row>
    <row r="66" spans="1:37" s="32" customFormat="1" ht="12">
      <c r="A66" s="23" t="s">
        <v>57</v>
      </c>
      <c r="B66" s="23"/>
      <c r="C66" s="30">
        <v>11413419</v>
      </c>
      <c r="D66" s="30"/>
      <c r="E66" s="30">
        <v>0</v>
      </c>
      <c r="F66" s="30"/>
      <c r="G66" s="30">
        <v>11216183</v>
      </c>
      <c r="H66" s="30"/>
      <c r="I66" s="30">
        <v>296460</v>
      </c>
      <c r="J66" s="30"/>
      <c r="K66" s="30">
        <v>188097</v>
      </c>
      <c r="L66" s="30"/>
      <c r="M66" s="30">
        <v>2031380</v>
      </c>
      <c r="N66" s="30"/>
      <c r="O66" s="30">
        <v>0</v>
      </c>
      <c r="P66" s="30"/>
      <c r="Q66" s="30">
        <v>474392</v>
      </c>
      <c r="R66" s="30"/>
      <c r="S66" s="30">
        <v>0</v>
      </c>
      <c r="T66" s="40"/>
      <c r="U66" s="30">
        <v>0</v>
      </c>
      <c r="V66" s="30"/>
      <c r="W66" s="30">
        <v>0</v>
      </c>
      <c r="X66" s="30"/>
      <c r="Y66" s="30">
        <v>16045</v>
      </c>
      <c r="Z66" s="30"/>
      <c r="AA66" s="30">
        <v>1187</v>
      </c>
      <c r="AB66" s="30"/>
      <c r="AC66" s="40">
        <f t="shared" si="1"/>
        <v>25637163</v>
      </c>
      <c r="AD66" s="41"/>
      <c r="AE66" s="30">
        <v>583268</v>
      </c>
      <c r="AG66" s="30">
        <v>16648583</v>
      </c>
      <c r="AI66" s="30">
        <v>0</v>
      </c>
      <c r="AK66" s="32">
        <f>+'[1]GenRev'!Q64-'[1]GenExp'!AC64-AE66+'[1]GenRev'!S64+AG66+AI66-'[1]Gen Fd BS'!O64</f>
        <v>0</v>
      </c>
    </row>
    <row r="67" spans="1:37" s="32" customFormat="1" ht="12">
      <c r="A67" s="23" t="s">
        <v>58</v>
      </c>
      <c r="B67" s="23"/>
      <c r="C67" s="30">
        <v>1407771</v>
      </c>
      <c r="D67" s="30"/>
      <c r="E67" s="30">
        <v>607414</v>
      </c>
      <c r="F67" s="30"/>
      <c r="G67" s="30">
        <v>1322752</v>
      </c>
      <c r="H67" s="30"/>
      <c r="I67" s="30">
        <v>13875</v>
      </c>
      <c r="J67" s="30"/>
      <c r="K67" s="30">
        <v>343365</v>
      </c>
      <c r="L67" s="30"/>
      <c r="M67" s="30">
        <v>189000</v>
      </c>
      <c r="N67" s="30"/>
      <c r="O67" s="30">
        <v>0</v>
      </c>
      <c r="P67" s="30"/>
      <c r="Q67" s="30">
        <v>0</v>
      </c>
      <c r="R67" s="30"/>
      <c r="S67" s="30">
        <v>0</v>
      </c>
      <c r="T67" s="40"/>
      <c r="U67" s="30">
        <v>0</v>
      </c>
      <c r="V67" s="30"/>
      <c r="W67" s="30">
        <v>10500</v>
      </c>
      <c r="X67" s="30"/>
      <c r="Y67" s="30">
        <v>0</v>
      </c>
      <c r="Z67" s="30"/>
      <c r="AA67" s="30">
        <v>1045</v>
      </c>
      <c r="AB67" s="30"/>
      <c r="AC67" s="40">
        <f t="shared" si="1"/>
        <v>3895722</v>
      </c>
      <c r="AD67" s="41"/>
      <c r="AE67" s="30">
        <v>157708</v>
      </c>
      <c r="AG67" s="30">
        <v>520210</v>
      </c>
      <c r="AI67" s="30">
        <v>0</v>
      </c>
      <c r="AK67" s="32">
        <f>+'[1]GenRev'!Q65-'[1]GenExp'!AC65-AE67+'[1]GenRev'!S65+AG67+AI67-'[1]Gen Fd BS'!O65</f>
        <v>0</v>
      </c>
    </row>
    <row r="68" spans="1:37" s="32" customFormat="1" ht="12">
      <c r="A68" s="23" t="s">
        <v>59</v>
      </c>
      <c r="B68" s="23"/>
      <c r="C68" s="30">
        <v>23118557</v>
      </c>
      <c r="D68" s="30"/>
      <c r="E68" s="30">
        <v>92604593</v>
      </c>
      <c r="F68" s="30"/>
      <c r="G68" s="30">
        <v>0</v>
      </c>
      <c r="H68" s="30"/>
      <c r="I68" s="30">
        <v>483118</v>
      </c>
      <c r="J68" s="30"/>
      <c r="K68" s="30">
        <v>0</v>
      </c>
      <c r="L68" s="30"/>
      <c r="M68" s="30">
        <v>2637460</v>
      </c>
      <c r="N68" s="30"/>
      <c r="O68" s="30">
        <v>3194986</v>
      </c>
      <c r="P68" s="30"/>
      <c r="Q68" s="30">
        <v>0</v>
      </c>
      <c r="R68" s="30"/>
      <c r="S68" s="30">
        <v>0</v>
      </c>
      <c r="T68" s="40"/>
      <c r="U68" s="30">
        <v>0</v>
      </c>
      <c r="V68" s="30"/>
      <c r="W68" s="30">
        <f>53300+148410+1230000+244304</f>
        <v>1676014</v>
      </c>
      <c r="X68" s="30"/>
      <c r="Y68" s="30">
        <v>12647</v>
      </c>
      <c r="Z68" s="30"/>
      <c r="AA68" s="30">
        <v>2361</v>
      </c>
      <c r="AB68" s="30"/>
      <c r="AC68" s="40">
        <f t="shared" si="1"/>
        <v>123729736</v>
      </c>
      <c r="AD68" s="41"/>
      <c r="AE68" s="30">
        <v>31808658</v>
      </c>
      <c r="AG68" s="30">
        <v>48471707</v>
      </c>
      <c r="AI68" s="30">
        <v>0</v>
      </c>
      <c r="AK68" s="32">
        <f>+'[1]GenRev'!Q66-'[1]GenExp'!AC66-AE68+'[1]GenRev'!S66+AG68+AI68-'[1]Gen Fd BS'!O66</f>
        <v>0</v>
      </c>
    </row>
    <row r="69" spans="1:37" s="32" customFormat="1" ht="12" hidden="1">
      <c r="A69" s="23" t="s">
        <v>60</v>
      </c>
      <c r="B69" s="23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40"/>
      <c r="U69" s="30"/>
      <c r="V69" s="30"/>
      <c r="W69" s="30"/>
      <c r="X69" s="30"/>
      <c r="Y69" s="30"/>
      <c r="Z69" s="30"/>
      <c r="AA69" s="30"/>
      <c r="AB69" s="30"/>
      <c r="AC69" s="40">
        <f t="shared" si="1"/>
        <v>0</v>
      </c>
      <c r="AD69" s="41"/>
      <c r="AE69" s="30"/>
      <c r="AG69" s="30"/>
      <c r="AI69" s="30"/>
      <c r="AK69" s="32" t="e">
        <f>+'[1]GenRev'!Q67-'[1]GenExp'!AC67-AE69+'[1]GenRev'!S67+AG69+AI69-'[1]Gen Fd BS'!O67</f>
        <v>#REF!</v>
      </c>
    </row>
    <row r="70" spans="1:37" s="32" customFormat="1" ht="12">
      <c r="A70" s="23" t="s">
        <v>97</v>
      </c>
      <c r="B70" s="23"/>
      <c r="C70" s="30">
        <v>3018067</v>
      </c>
      <c r="D70" s="30"/>
      <c r="E70" s="30">
        <v>1148187</v>
      </c>
      <c r="F70" s="30"/>
      <c r="G70" s="30">
        <v>3369917</v>
      </c>
      <c r="H70" s="30"/>
      <c r="I70" s="30">
        <v>0</v>
      </c>
      <c r="J70" s="30"/>
      <c r="K70" s="30">
        <v>74699</v>
      </c>
      <c r="L70" s="30"/>
      <c r="M70" s="30">
        <v>479852</v>
      </c>
      <c r="N70" s="30"/>
      <c r="O70" s="30">
        <v>44177</v>
      </c>
      <c r="P70" s="30"/>
      <c r="Q70" s="30">
        <v>0</v>
      </c>
      <c r="R70" s="30"/>
      <c r="S70" s="30">
        <v>26598</v>
      </c>
      <c r="T70" s="40"/>
      <c r="U70" s="30">
        <v>49025</v>
      </c>
      <c r="V70" s="30"/>
      <c r="W70" s="30">
        <v>416488</v>
      </c>
      <c r="X70" s="30"/>
      <c r="Y70" s="30">
        <v>94565</v>
      </c>
      <c r="Z70" s="30"/>
      <c r="AA70" s="30">
        <v>16084</v>
      </c>
      <c r="AB70" s="30"/>
      <c r="AC70" s="40">
        <f>SUM(C70:AB70)</f>
        <v>8737659</v>
      </c>
      <c r="AD70" s="41"/>
      <c r="AE70" s="30">
        <v>140000</v>
      </c>
      <c r="AG70" s="30">
        <v>1570290</v>
      </c>
      <c r="AI70" s="30">
        <v>0</v>
      </c>
      <c r="AK70" s="32">
        <f>+'[1]GenRev'!Q68-'[1]GenExp'!AC68-AE70+'[1]GenRev'!S68+AG70+AI70-'[1]Gen Fd BS'!O68</f>
        <v>0</v>
      </c>
    </row>
    <row r="71" spans="1:37" s="32" customFormat="1" ht="12">
      <c r="A71" s="23" t="s">
        <v>61</v>
      </c>
      <c r="B71" s="23"/>
      <c r="C71" s="30">
        <v>8045713</v>
      </c>
      <c r="D71" s="30"/>
      <c r="E71" s="30">
        <v>6250632</v>
      </c>
      <c r="F71" s="30"/>
      <c r="G71" s="30">
        <f>8661957+39178</f>
        <v>8701135</v>
      </c>
      <c r="H71" s="30"/>
      <c r="I71" s="30">
        <f>307042+516395</f>
        <v>823437</v>
      </c>
      <c r="J71" s="30"/>
      <c r="K71" s="30">
        <f>481241+35000</f>
        <v>516241</v>
      </c>
      <c r="L71" s="30"/>
      <c r="M71" s="30">
        <v>452170</v>
      </c>
      <c r="N71" s="30"/>
      <c r="O71" s="30">
        <v>0</v>
      </c>
      <c r="P71" s="30"/>
      <c r="Q71" s="30">
        <v>0</v>
      </c>
      <c r="R71" s="30"/>
      <c r="S71" s="30">
        <v>0</v>
      </c>
      <c r="T71" s="40"/>
      <c r="U71" s="30">
        <v>10337</v>
      </c>
      <c r="V71" s="30"/>
      <c r="W71" s="30">
        <v>0</v>
      </c>
      <c r="X71" s="30"/>
      <c r="Y71" s="30">
        <v>1750</v>
      </c>
      <c r="Z71" s="30"/>
      <c r="AA71" s="30">
        <v>738</v>
      </c>
      <c r="AB71" s="30"/>
      <c r="AC71" s="40">
        <f t="shared" si="1"/>
        <v>24802153</v>
      </c>
      <c r="AD71" s="41"/>
      <c r="AE71" s="30">
        <v>3897144</v>
      </c>
      <c r="AG71" s="30">
        <v>11023826</v>
      </c>
      <c r="AI71" s="30">
        <v>0</v>
      </c>
      <c r="AK71" s="32">
        <f>+'[1]GenRev'!Q69-'[1]GenExp'!AC69-AE71+'[1]GenRev'!S69+AG71+AI71-'[1]Gen Fd BS'!O69</f>
        <v>0</v>
      </c>
    </row>
    <row r="72" spans="1:37" s="32" customFormat="1" ht="12">
      <c r="A72" s="23" t="s">
        <v>62</v>
      </c>
      <c r="B72" s="23"/>
      <c r="C72" s="30">
        <v>1375367</v>
      </c>
      <c r="D72" s="30"/>
      <c r="E72" s="30">
        <v>400164</v>
      </c>
      <c r="F72" s="30"/>
      <c r="G72" s="30">
        <v>858385</v>
      </c>
      <c r="H72" s="30"/>
      <c r="I72" s="30">
        <v>0</v>
      </c>
      <c r="J72" s="30"/>
      <c r="K72" s="30">
        <v>15178</v>
      </c>
      <c r="L72" s="30"/>
      <c r="M72" s="30">
        <v>112794</v>
      </c>
      <c r="N72" s="30"/>
      <c r="O72" s="30">
        <v>0</v>
      </c>
      <c r="P72" s="30"/>
      <c r="Q72" s="30">
        <v>0</v>
      </c>
      <c r="R72" s="30"/>
      <c r="S72" s="30">
        <v>0</v>
      </c>
      <c r="T72" s="40"/>
      <c r="U72" s="30">
        <v>0</v>
      </c>
      <c r="V72" s="30"/>
      <c r="W72" s="30">
        <v>0</v>
      </c>
      <c r="X72" s="30"/>
      <c r="Y72" s="30">
        <v>5415</v>
      </c>
      <c r="Z72" s="30"/>
      <c r="AA72" s="30">
        <v>260</v>
      </c>
      <c r="AB72" s="30"/>
      <c r="AC72" s="40">
        <f t="shared" si="1"/>
        <v>2767563</v>
      </c>
      <c r="AD72" s="41"/>
      <c r="AE72" s="30">
        <v>41897</v>
      </c>
      <c r="AG72" s="30">
        <v>709114</v>
      </c>
      <c r="AI72" s="30">
        <v>0</v>
      </c>
      <c r="AK72" s="32">
        <f>+'[1]GenRev'!Q70-'[1]GenExp'!AC70-AE72+'[1]GenRev'!S70+AG72+AI72-'[1]Gen Fd BS'!O70</f>
        <v>0</v>
      </c>
    </row>
    <row r="73" spans="1:37" s="32" customFormat="1" ht="12">
      <c r="A73" s="23" t="s">
        <v>63</v>
      </c>
      <c r="B73" s="23"/>
      <c r="C73" s="30">
        <v>4284479</v>
      </c>
      <c r="D73" s="30"/>
      <c r="E73" s="30">
        <v>2361582</v>
      </c>
      <c r="F73" s="30"/>
      <c r="G73" s="30">
        <v>5373150</v>
      </c>
      <c r="H73" s="30"/>
      <c r="I73" s="30">
        <v>461385</v>
      </c>
      <c r="J73" s="30"/>
      <c r="K73" s="30">
        <v>35322</v>
      </c>
      <c r="L73" s="30"/>
      <c r="M73" s="30">
        <v>1003105</v>
      </c>
      <c r="N73" s="30"/>
      <c r="O73" s="30">
        <v>0</v>
      </c>
      <c r="P73" s="30"/>
      <c r="Q73" s="30">
        <v>0</v>
      </c>
      <c r="R73" s="30"/>
      <c r="S73" s="30">
        <v>384990</v>
      </c>
      <c r="T73" s="40"/>
      <c r="U73" s="30">
        <v>0</v>
      </c>
      <c r="V73" s="30"/>
      <c r="W73" s="30">
        <v>0</v>
      </c>
      <c r="X73" s="30"/>
      <c r="Y73" s="30">
        <v>7045</v>
      </c>
      <c r="Z73" s="30"/>
      <c r="AA73" s="30">
        <v>1943</v>
      </c>
      <c r="AB73" s="30"/>
      <c r="AC73" s="40">
        <f t="shared" si="1"/>
        <v>13913001</v>
      </c>
      <c r="AD73" s="41"/>
      <c r="AE73" s="30">
        <v>2017408</v>
      </c>
      <c r="AG73" s="30">
        <v>4294955</v>
      </c>
      <c r="AI73" s="30">
        <v>0</v>
      </c>
      <c r="AK73" s="32">
        <f>+'[1]GenRev'!Q71-'[1]GenExp'!AC71-AE73+'[1]GenRev'!S71+AG73+AI73-'[1]Gen Fd BS'!O71</f>
        <v>0</v>
      </c>
    </row>
    <row r="74" spans="1:37" s="32" customFormat="1" ht="12" hidden="1">
      <c r="A74" s="23" t="s">
        <v>132</v>
      </c>
      <c r="B74" s="2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40"/>
      <c r="U74" s="30"/>
      <c r="V74" s="30"/>
      <c r="W74" s="30"/>
      <c r="X74" s="30"/>
      <c r="Y74" s="30"/>
      <c r="Z74" s="30"/>
      <c r="AA74" s="30"/>
      <c r="AB74" s="30"/>
      <c r="AC74" s="40">
        <f t="shared" si="1"/>
        <v>0</v>
      </c>
      <c r="AD74" s="41"/>
      <c r="AE74" s="30"/>
      <c r="AG74" s="30"/>
      <c r="AI74" s="30"/>
      <c r="AK74" s="32" t="e">
        <f>+'[1]GenRev'!Q72-'[1]GenExp'!AC72-AE74+'[1]GenRev'!S72+AG74+AI74-'[1]Gen Fd BS'!O72</f>
        <v>#REF!</v>
      </c>
    </row>
    <row r="75" spans="1:37" s="32" customFormat="1" ht="12" hidden="1">
      <c r="A75" s="23" t="s">
        <v>64</v>
      </c>
      <c r="B75" s="2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40"/>
      <c r="U75" s="30"/>
      <c r="V75" s="30"/>
      <c r="W75" s="30"/>
      <c r="X75" s="30"/>
      <c r="Y75" s="30"/>
      <c r="Z75" s="30"/>
      <c r="AA75" s="30"/>
      <c r="AB75" s="30"/>
      <c r="AC75" s="40">
        <f t="shared" si="1"/>
        <v>0</v>
      </c>
      <c r="AD75" s="41"/>
      <c r="AE75" s="30"/>
      <c r="AG75" s="30"/>
      <c r="AI75" s="30"/>
      <c r="AK75" s="32" t="e">
        <f>+'[1]GenRev'!Q73-'[1]GenExp'!AC73-AE75+'[1]GenRev'!S73+AG75+AI75-'[1]Gen Fd BS'!O73</f>
        <v>#REF!</v>
      </c>
    </row>
    <row r="76" spans="1:37" s="32" customFormat="1" ht="12">
      <c r="A76" s="23" t="s">
        <v>65</v>
      </c>
      <c r="B76" s="23"/>
      <c r="C76" s="30">
        <v>3249165</v>
      </c>
      <c r="D76" s="30"/>
      <c r="E76" s="30">
        <v>1677629</v>
      </c>
      <c r="F76" s="30"/>
      <c r="G76" s="30">
        <v>5514834</v>
      </c>
      <c r="H76" s="30"/>
      <c r="I76" s="30">
        <v>87260</v>
      </c>
      <c r="J76" s="30"/>
      <c r="K76" s="30">
        <v>85948</v>
      </c>
      <c r="L76" s="30"/>
      <c r="M76" s="30">
        <v>509468</v>
      </c>
      <c r="N76" s="30"/>
      <c r="O76" s="30">
        <v>0</v>
      </c>
      <c r="P76" s="30"/>
      <c r="Q76" s="30">
        <v>379350</v>
      </c>
      <c r="R76" s="30"/>
      <c r="S76" s="30">
        <v>21880</v>
      </c>
      <c r="T76" s="40"/>
      <c r="U76" s="30">
        <v>0</v>
      </c>
      <c r="V76" s="30"/>
      <c r="W76" s="30">
        <v>0</v>
      </c>
      <c r="X76" s="30"/>
      <c r="Y76" s="30">
        <v>67553</v>
      </c>
      <c r="Z76" s="30"/>
      <c r="AA76" s="30">
        <v>5864</v>
      </c>
      <c r="AB76" s="30"/>
      <c r="AC76" s="40">
        <f t="shared" si="1"/>
        <v>11598951</v>
      </c>
      <c r="AD76" s="41"/>
      <c r="AE76" s="30">
        <v>505193</v>
      </c>
      <c r="AG76" s="30">
        <v>3669168</v>
      </c>
      <c r="AI76" s="30">
        <v>0</v>
      </c>
      <c r="AK76" s="32">
        <f>+'[1]GenRev'!Q75-'[1]GenExp'!AC74-AE76+'[1]GenRev'!S75+AG76+AI76-'[1]Gen Fd BS'!O75</f>
        <v>0</v>
      </c>
    </row>
    <row r="77" spans="1:37" s="32" customFormat="1" ht="12">
      <c r="A77" s="23" t="s">
        <v>66</v>
      </c>
      <c r="B77" s="23"/>
      <c r="C77" s="30">
        <v>2732971</v>
      </c>
      <c r="D77" s="30"/>
      <c r="E77" s="30">
        <v>990791</v>
      </c>
      <c r="F77" s="30"/>
      <c r="G77" s="30">
        <v>2010524</v>
      </c>
      <c r="H77" s="30"/>
      <c r="I77" s="30">
        <v>69670</v>
      </c>
      <c r="J77" s="30"/>
      <c r="K77" s="30">
        <v>21721</v>
      </c>
      <c r="L77" s="30"/>
      <c r="M77" s="30">
        <v>331994</v>
      </c>
      <c r="N77" s="30"/>
      <c r="O77" s="30">
        <v>0</v>
      </c>
      <c r="P77" s="30"/>
      <c r="Q77" s="30">
        <v>216097</v>
      </c>
      <c r="R77" s="30"/>
      <c r="S77" s="30">
        <v>0</v>
      </c>
      <c r="T77" s="40"/>
      <c r="U77" s="30">
        <v>154174</v>
      </c>
      <c r="V77" s="30"/>
      <c r="W77" s="30">
        <v>0</v>
      </c>
      <c r="X77" s="30"/>
      <c r="Y77" s="30">
        <v>8312</v>
      </c>
      <c r="Z77" s="30"/>
      <c r="AA77" s="30">
        <v>927</v>
      </c>
      <c r="AB77" s="30"/>
      <c r="AC77" s="40">
        <f t="shared" si="1"/>
        <v>6537181</v>
      </c>
      <c r="AD77" s="41"/>
      <c r="AE77" s="30">
        <v>386441</v>
      </c>
      <c r="AG77" s="30">
        <v>2997037</v>
      </c>
      <c r="AI77" s="30">
        <v>0</v>
      </c>
      <c r="AK77" s="32">
        <f>+'[1]GenRev'!Q76-'[1]GenExp'!AC75-AE77+'[1]GenRev'!S76+AG77+AI77-'[1]Gen Fd BS'!O76</f>
        <v>2610596</v>
      </c>
    </row>
    <row r="78" spans="1:37" s="32" customFormat="1" ht="12">
      <c r="A78" s="23" t="s">
        <v>67</v>
      </c>
      <c r="B78" s="23"/>
      <c r="C78" s="30">
        <v>12587741</v>
      </c>
      <c r="D78" s="30"/>
      <c r="E78" s="30">
        <v>8855371</v>
      </c>
      <c r="F78" s="30"/>
      <c r="G78" s="30">
        <v>13053590</v>
      </c>
      <c r="H78" s="30"/>
      <c r="I78" s="30">
        <v>196868</v>
      </c>
      <c r="J78" s="30"/>
      <c r="K78" s="30">
        <v>0</v>
      </c>
      <c r="L78" s="30"/>
      <c r="M78" s="30">
        <v>834568</v>
      </c>
      <c r="N78" s="30"/>
      <c r="O78" s="30">
        <v>0</v>
      </c>
      <c r="P78" s="30"/>
      <c r="Q78" s="30">
        <v>0</v>
      </c>
      <c r="R78" s="30"/>
      <c r="S78" s="30">
        <v>0</v>
      </c>
      <c r="T78" s="40"/>
      <c r="U78" s="30">
        <v>0</v>
      </c>
      <c r="V78" s="30"/>
      <c r="W78" s="30">
        <v>0</v>
      </c>
      <c r="X78" s="30"/>
      <c r="Y78" s="30">
        <v>0</v>
      </c>
      <c r="Z78" s="30"/>
      <c r="AA78" s="30">
        <v>0</v>
      </c>
      <c r="AB78" s="30"/>
      <c r="AC78" s="40">
        <f t="shared" si="1"/>
        <v>35528138</v>
      </c>
      <c r="AD78" s="41"/>
      <c r="AE78" s="30">
        <v>2694120</v>
      </c>
      <c r="AG78" s="30">
        <v>14976674</v>
      </c>
      <c r="AI78" s="30">
        <v>0</v>
      </c>
      <c r="AK78" s="32">
        <f>+'[1]GenRev'!Q77-'[1]GenExp'!AC76-AE78+'[1]GenRev'!S77+AG78+AI78-'[1]Gen Fd BS'!O77</f>
        <v>0</v>
      </c>
    </row>
    <row r="79" spans="1:37" s="32" customFormat="1" ht="12">
      <c r="A79" s="23" t="s">
        <v>68</v>
      </c>
      <c r="B79" s="23"/>
      <c r="C79" s="30">
        <v>3132375</v>
      </c>
      <c r="D79" s="30"/>
      <c r="E79" s="30">
        <v>1670135</v>
      </c>
      <c r="F79" s="30"/>
      <c r="G79" s="30">
        <v>4255090</v>
      </c>
      <c r="H79" s="30"/>
      <c r="I79" s="30">
        <v>28330</v>
      </c>
      <c r="J79" s="30"/>
      <c r="K79" s="30">
        <v>47130</v>
      </c>
      <c r="L79" s="30"/>
      <c r="M79" s="30">
        <v>317610</v>
      </c>
      <c r="N79" s="30"/>
      <c r="O79" s="30">
        <v>0</v>
      </c>
      <c r="P79" s="30"/>
      <c r="Q79" s="30">
        <v>0</v>
      </c>
      <c r="R79" s="30"/>
      <c r="S79" s="30">
        <v>0</v>
      </c>
      <c r="T79" s="40"/>
      <c r="U79" s="30">
        <v>0</v>
      </c>
      <c r="V79" s="30"/>
      <c r="W79" s="30">
        <v>314533</v>
      </c>
      <c r="X79" s="30"/>
      <c r="Y79" s="30">
        <v>0</v>
      </c>
      <c r="Z79" s="30"/>
      <c r="AA79" s="30">
        <v>0</v>
      </c>
      <c r="AB79" s="30"/>
      <c r="AC79" s="40">
        <f t="shared" si="1"/>
        <v>9765203</v>
      </c>
      <c r="AD79" s="41"/>
      <c r="AE79" s="30">
        <v>727396</v>
      </c>
      <c r="AG79" s="30">
        <v>2331709</v>
      </c>
      <c r="AI79" s="30">
        <v>0</v>
      </c>
      <c r="AK79" s="32">
        <f>+'[1]GenRev'!Q78-'[1]GenExp'!AC77-AE79+'[1]GenRev'!S78+AG79+AI79-'[1]Gen Fd BS'!O78</f>
        <v>0</v>
      </c>
    </row>
    <row r="80" spans="1:37" s="32" customFormat="1" ht="12" hidden="1">
      <c r="A80" s="23" t="s">
        <v>176</v>
      </c>
      <c r="B80" s="23"/>
      <c r="C80" s="30">
        <v>0</v>
      </c>
      <c r="D80" s="30"/>
      <c r="E80" s="30">
        <v>0</v>
      </c>
      <c r="F80" s="30"/>
      <c r="G80" s="30">
        <v>0</v>
      </c>
      <c r="H80" s="30"/>
      <c r="I80" s="30">
        <v>0</v>
      </c>
      <c r="J80" s="30"/>
      <c r="K80" s="30">
        <v>0</v>
      </c>
      <c r="L80" s="30"/>
      <c r="M80" s="30">
        <v>0</v>
      </c>
      <c r="N80" s="30"/>
      <c r="O80" s="30">
        <v>0</v>
      </c>
      <c r="P80" s="30"/>
      <c r="Q80" s="30">
        <v>0</v>
      </c>
      <c r="R80" s="30"/>
      <c r="S80" s="30">
        <v>0</v>
      </c>
      <c r="T80" s="40"/>
      <c r="U80" s="30">
        <v>0</v>
      </c>
      <c r="V80" s="30"/>
      <c r="W80" s="30">
        <v>0</v>
      </c>
      <c r="X80" s="30"/>
      <c r="Y80" s="30">
        <v>0</v>
      </c>
      <c r="Z80" s="30"/>
      <c r="AA80" s="30">
        <v>0</v>
      </c>
      <c r="AB80" s="30"/>
      <c r="AC80" s="40">
        <f t="shared" si="1"/>
        <v>0</v>
      </c>
      <c r="AD80" s="41"/>
      <c r="AE80" s="30">
        <v>0</v>
      </c>
      <c r="AG80" s="30">
        <v>0</v>
      </c>
      <c r="AI80" s="30">
        <v>0</v>
      </c>
      <c r="AK80" s="32">
        <f>+'[1]GenRev'!Q79-'[1]GenExp'!AC78-AE80+'[1]GenRev'!S79+AG80+AI80-'[1]Gen Fd BS'!O79</f>
        <v>0</v>
      </c>
    </row>
    <row r="81" spans="1:37" s="32" customFormat="1" ht="12">
      <c r="A81" s="23" t="s">
        <v>178</v>
      </c>
      <c r="B81" s="23"/>
      <c r="C81" s="30">
        <v>8524862</v>
      </c>
      <c r="D81" s="30"/>
      <c r="E81" s="30">
        <v>5539823</v>
      </c>
      <c r="F81" s="30"/>
      <c r="G81" s="30">
        <v>11904000</v>
      </c>
      <c r="H81" s="30"/>
      <c r="I81" s="30">
        <v>590918</v>
      </c>
      <c r="J81" s="30"/>
      <c r="K81" s="30">
        <v>401253</v>
      </c>
      <c r="L81" s="30"/>
      <c r="M81" s="30">
        <v>683656</v>
      </c>
      <c r="N81" s="30"/>
      <c r="O81" s="30">
        <v>0</v>
      </c>
      <c r="P81" s="30"/>
      <c r="Q81" s="30">
        <v>177470</v>
      </c>
      <c r="R81" s="30"/>
      <c r="S81" s="30">
        <v>30085</v>
      </c>
      <c r="T81" s="40"/>
      <c r="U81" s="30">
        <v>0</v>
      </c>
      <c r="V81" s="30"/>
      <c r="W81" s="30">
        <v>1313041</v>
      </c>
      <c r="X81" s="30"/>
      <c r="Y81" s="30">
        <v>19702</v>
      </c>
      <c r="Z81" s="30"/>
      <c r="AA81" s="30">
        <v>3436</v>
      </c>
      <c r="AB81" s="30"/>
      <c r="AC81" s="40">
        <f t="shared" si="1"/>
        <v>29188246</v>
      </c>
      <c r="AD81" s="41"/>
      <c r="AE81" s="30">
        <v>2696011</v>
      </c>
      <c r="AG81" s="30">
        <v>3046767</v>
      </c>
      <c r="AI81" s="30">
        <v>0</v>
      </c>
      <c r="AK81" s="32">
        <f>+'[1]GenRev'!Q80-'[1]GenExp'!AC79-AE81+'[1]GenRev'!S80+AG81+AI81-'[1]Gen Fd BS'!O80</f>
        <v>0</v>
      </c>
    </row>
    <row r="82" spans="1:37" s="32" customFormat="1" ht="12">
      <c r="A82" s="23" t="s">
        <v>69</v>
      </c>
      <c r="B82" s="23"/>
      <c r="C82" s="30">
        <v>4735898</v>
      </c>
      <c r="D82" s="30"/>
      <c r="E82" s="30">
        <v>2962435</v>
      </c>
      <c r="F82" s="30"/>
      <c r="G82" s="30">
        <v>1524739</v>
      </c>
      <c r="H82" s="30"/>
      <c r="I82" s="30">
        <v>379720</v>
      </c>
      <c r="J82" s="30"/>
      <c r="K82" s="30">
        <v>618517</v>
      </c>
      <c r="L82" s="30"/>
      <c r="M82" s="30">
        <v>628425</v>
      </c>
      <c r="N82" s="30"/>
      <c r="O82" s="30">
        <v>278415</v>
      </c>
      <c r="P82" s="30"/>
      <c r="Q82" s="30">
        <v>0</v>
      </c>
      <c r="R82" s="30"/>
      <c r="S82" s="30">
        <v>0</v>
      </c>
      <c r="T82" s="40"/>
      <c r="U82" s="30">
        <v>0</v>
      </c>
      <c r="V82" s="30"/>
      <c r="W82" s="30">
        <v>0</v>
      </c>
      <c r="X82" s="30"/>
      <c r="Y82" s="30">
        <v>41481</v>
      </c>
      <c r="Z82" s="30"/>
      <c r="AA82" s="30">
        <v>7008</v>
      </c>
      <c r="AB82" s="30"/>
      <c r="AC82" s="40">
        <f t="shared" si="1"/>
        <v>11176638</v>
      </c>
      <c r="AD82" s="41"/>
      <c r="AE82" s="30">
        <v>8127304</v>
      </c>
      <c r="AG82" s="30">
        <v>3812710</v>
      </c>
      <c r="AI82" s="30">
        <v>0</v>
      </c>
      <c r="AK82" s="32">
        <f>+'[1]GenRev'!Q81-'[1]GenExp'!AC80-AE82+'[1]GenRev'!S81+AG82+AI82-'[1]Gen Fd BS'!O81</f>
        <v>0</v>
      </c>
    </row>
    <row r="83" spans="1:37" s="32" customFormat="1" ht="12">
      <c r="A83" s="23" t="s">
        <v>98</v>
      </c>
      <c r="B83" s="23"/>
      <c r="C83" s="30">
        <v>4831244</v>
      </c>
      <c r="D83" s="30"/>
      <c r="E83" s="30">
        <v>2934865</v>
      </c>
      <c r="F83" s="30"/>
      <c r="G83" s="30">
        <v>5778132</v>
      </c>
      <c r="H83" s="30"/>
      <c r="I83" s="30">
        <v>90940</v>
      </c>
      <c r="J83" s="30"/>
      <c r="K83" s="30">
        <v>136350</v>
      </c>
      <c r="L83" s="30"/>
      <c r="M83" s="30">
        <v>442809</v>
      </c>
      <c r="N83" s="30"/>
      <c r="O83" s="30">
        <v>0</v>
      </c>
      <c r="P83" s="30"/>
      <c r="Q83" s="30">
        <v>0</v>
      </c>
      <c r="R83" s="30"/>
      <c r="S83" s="30">
        <v>531989</v>
      </c>
      <c r="T83" s="40"/>
      <c r="U83" s="30">
        <v>27213</v>
      </c>
      <c r="V83" s="30"/>
      <c r="W83" s="30">
        <v>186600</v>
      </c>
      <c r="X83" s="30"/>
      <c r="Y83" s="30">
        <v>159892</v>
      </c>
      <c r="Z83" s="30"/>
      <c r="AA83" s="30">
        <v>10572</v>
      </c>
      <c r="AB83" s="30"/>
      <c r="AC83" s="40">
        <f t="shared" si="1"/>
        <v>15130606</v>
      </c>
      <c r="AD83" s="41"/>
      <c r="AE83" s="30">
        <v>2325175</v>
      </c>
      <c r="AG83" s="30">
        <v>5362817</v>
      </c>
      <c r="AI83" s="30">
        <v>0</v>
      </c>
      <c r="AK83" s="32">
        <f>+'[1]GenRev'!Q82-'[1]GenExp'!AC81-AE83+'[1]GenRev'!S82+AG83+AI83-'[1]Gen Fd BS'!O82</f>
        <v>0</v>
      </c>
    </row>
    <row r="84" spans="1:37" s="32" customFormat="1" ht="12">
      <c r="A84" s="23" t="s">
        <v>70</v>
      </c>
      <c r="B84" s="23"/>
      <c r="C84" s="30">
        <v>6199438</v>
      </c>
      <c r="D84" s="30"/>
      <c r="E84" s="30">
        <v>1964285</v>
      </c>
      <c r="F84" s="30"/>
      <c r="G84" s="30">
        <f>4817173+578326</f>
        <v>5395499</v>
      </c>
      <c r="H84" s="30"/>
      <c r="I84" s="30">
        <v>22478</v>
      </c>
      <c r="J84" s="30"/>
      <c r="K84" s="30">
        <v>311778</v>
      </c>
      <c r="L84" s="30"/>
      <c r="M84" s="30">
        <v>435274</v>
      </c>
      <c r="N84" s="30"/>
      <c r="O84" s="30">
        <v>106337</v>
      </c>
      <c r="P84" s="30"/>
      <c r="Q84" s="30">
        <v>259214</v>
      </c>
      <c r="R84" s="30"/>
      <c r="S84" s="30">
        <v>0</v>
      </c>
      <c r="T84" s="40"/>
      <c r="U84" s="30">
        <v>37761</v>
      </c>
      <c r="V84" s="30"/>
      <c r="W84" s="30">
        <v>0</v>
      </c>
      <c r="X84" s="30"/>
      <c r="Y84" s="30">
        <v>524681</v>
      </c>
      <c r="Z84" s="30"/>
      <c r="AA84" s="30">
        <v>94234</v>
      </c>
      <c r="AB84" s="30"/>
      <c r="AC84" s="40">
        <f t="shared" si="1"/>
        <v>15350979</v>
      </c>
      <c r="AD84" s="41"/>
      <c r="AE84" s="30">
        <v>2517530</v>
      </c>
      <c r="AG84" s="30">
        <v>53513</v>
      </c>
      <c r="AI84" s="30">
        <v>0</v>
      </c>
      <c r="AK84" s="32">
        <f>+'[1]GenRev'!Q83-'[1]GenExp'!AC82-AE84+'[1]GenRev'!S83+AG84+AI84-'[1]Gen Fd BS'!O83</f>
        <v>0</v>
      </c>
    </row>
    <row r="85" spans="1:35" s="32" customFormat="1" ht="12">
      <c r="A85" s="23"/>
      <c r="B85" s="23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40"/>
      <c r="U85" s="30"/>
      <c r="V85" s="30"/>
      <c r="W85" s="30"/>
      <c r="X85" s="30"/>
      <c r="Y85" s="30"/>
      <c r="Z85" s="30"/>
      <c r="AA85" s="30"/>
      <c r="AB85" s="30"/>
      <c r="AC85" s="40"/>
      <c r="AD85" s="41"/>
      <c r="AE85" s="30"/>
      <c r="AG85" s="30"/>
      <c r="AI85" s="30"/>
    </row>
    <row r="86" spans="1:33" s="34" customFormat="1" ht="12.75">
      <c r="A86" s="23"/>
      <c r="B86" s="23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40"/>
      <c r="U86" s="30"/>
      <c r="V86" s="30"/>
      <c r="W86" s="30"/>
      <c r="X86" s="30"/>
      <c r="Y86" s="30"/>
      <c r="Z86" s="30"/>
      <c r="AA86" s="30"/>
      <c r="AB86" s="30"/>
      <c r="AC86" s="40" t="s">
        <v>253</v>
      </c>
      <c r="AD86" s="41"/>
      <c r="AE86" s="30"/>
      <c r="AG86" s="30"/>
    </row>
    <row r="87" spans="1:37" s="32" customFormat="1" ht="12">
      <c r="A87" s="23" t="s">
        <v>71</v>
      </c>
      <c r="B87" s="23"/>
      <c r="C87" s="47">
        <v>5159879</v>
      </c>
      <c r="D87" s="47"/>
      <c r="E87" s="47">
        <v>2320603</v>
      </c>
      <c r="F87" s="47"/>
      <c r="G87" s="47">
        <v>5499786</v>
      </c>
      <c r="H87" s="47"/>
      <c r="I87" s="47">
        <v>45790</v>
      </c>
      <c r="J87" s="47"/>
      <c r="K87" s="47">
        <v>107491</v>
      </c>
      <c r="L87" s="47"/>
      <c r="M87" s="47">
        <v>382043</v>
      </c>
      <c r="N87" s="47"/>
      <c r="O87" s="47">
        <v>51341</v>
      </c>
      <c r="P87" s="47"/>
      <c r="Q87" s="47">
        <v>603451</v>
      </c>
      <c r="R87" s="47"/>
      <c r="S87" s="47">
        <v>0</v>
      </c>
      <c r="T87" s="61"/>
      <c r="U87" s="47">
        <v>521749</v>
      </c>
      <c r="V87" s="47"/>
      <c r="W87" s="47">
        <v>0</v>
      </c>
      <c r="X87" s="47"/>
      <c r="Y87" s="47">
        <v>0</v>
      </c>
      <c r="Z87" s="47"/>
      <c r="AA87" s="47">
        <v>0</v>
      </c>
      <c r="AB87" s="47"/>
      <c r="AC87" s="61">
        <f aca="true" t="shared" si="2" ref="AC87:AC92">SUM(C87:AA87)</f>
        <v>14692133</v>
      </c>
      <c r="AD87" s="80"/>
      <c r="AE87" s="47">
        <v>1925110</v>
      </c>
      <c r="AF87" s="44"/>
      <c r="AG87" s="47">
        <v>3568580</v>
      </c>
      <c r="AH87" s="44"/>
      <c r="AI87" s="47">
        <v>0</v>
      </c>
      <c r="AK87" s="32">
        <f>+'[1]GenRev'!Q84-'[1]GenExp'!AC83-AE87+'[1]GenRev'!S84+AG87+AI87-'[1]Gen Fd BS'!O84</f>
        <v>0</v>
      </c>
    </row>
    <row r="88" spans="1:37" s="32" customFormat="1" ht="12">
      <c r="A88" s="23" t="s">
        <v>72</v>
      </c>
      <c r="B88" s="23"/>
      <c r="C88" s="30">
        <v>3762193</v>
      </c>
      <c r="D88" s="30"/>
      <c r="E88" s="30">
        <v>2175307</v>
      </c>
      <c r="F88" s="30"/>
      <c r="G88" s="30">
        <v>4180276</v>
      </c>
      <c r="H88" s="30"/>
      <c r="I88" s="30">
        <v>989919</v>
      </c>
      <c r="J88" s="30"/>
      <c r="K88" s="30">
        <v>94079</v>
      </c>
      <c r="L88" s="30"/>
      <c r="M88" s="30">
        <v>702376</v>
      </c>
      <c r="N88" s="30"/>
      <c r="O88" s="30">
        <v>0</v>
      </c>
      <c r="P88" s="30"/>
      <c r="Q88" s="30">
        <v>0</v>
      </c>
      <c r="R88" s="30"/>
      <c r="S88" s="30">
        <v>0</v>
      </c>
      <c r="T88" s="40"/>
      <c r="U88" s="30">
        <v>0</v>
      </c>
      <c r="V88" s="30"/>
      <c r="W88" s="30">
        <v>435055</v>
      </c>
      <c r="X88" s="30"/>
      <c r="Y88" s="30">
        <v>8162</v>
      </c>
      <c r="Z88" s="30"/>
      <c r="AA88" s="30">
        <v>1788</v>
      </c>
      <c r="AB88" s="30"/>
      <c r="AC88" s="40">
        <f t="shared" si="2"/>
        <v>12349155</v>
      </c>
      <c r="AD88" s="41"/>
      <c r="AE88" s="30">
        <v>182914</v>
      </c>
      <c r="AG88" s="30">
        <v>1883425</v>
      </c>
      <c r="AI88" s="30">
        <v>0</v>
      </c>
      <c r="AK88" s="32">
        <f>+'[1]GenRev'!Q85-'[1]GenExp'!AC84-AE88+'[1]GenRev'!S85+AG88+AI88-'[1]Gen Fd BS'!O85</f>
        <v>0</v>
      </c>
    </row>
    <row r="89" spans="1:37" s="32" customFormat="1" ht="12">
      <c r="A89" s="23" t="s">
        <v>73</v>
      </c>
      <c r="B89" s="23"/>
      <c r="C89" s="30">
        <v>15533902</v>
      </c>
      <c r="D89" s="30"/>
      <c r="E89" s="30">
        <v>13316231</v>
      </c>
      <c r="F89" s="30"/>
      <c r="G89" s="30">
        <v>21257115</v>
      </c>
      <c r="H89" s="30"/>
      <c r="I89" s="30">
        <v>1031378</v>
      </c>
      <c r="J89" s="30"/>
      <c r="K89" s="30">
        <v>0</v>
      </c>
      <c r="L89" s="30"/>
      <c r="M89" s="30">
        <v>1088302</v>
      </c>
      <c r="N89" s="30"/>
      <c r="O89" s="30">
        <v>0</v>
      </c>
      <c r="P89" s="30"/>
      <c r="Q89" s="30">
        <v>0</v>
      </c>
      <c r="R89" s="30"/>
      <c r="S89" s="30">
        <v>523167</v>
      </c>
      <c r="T89" s="40"/>
      <c r="U89" s="30">
        <v>0</v>
      </c>
      <c r="V89" s="30"/>
      <c r="W89" s="30">
        <v>7194321</v>
      </c>
      <c r="X89" s="30"/>
      <c r="Y89" s="30">
        <v>23954</v>
      </c>
      <c r="Z89" s="30"/>
      <c r="AA89" s="30">
        <v>879</v>
      </c>
      <c r="AB89" s="30"/>
      <c r="AC89" s="40">
        <f t="shared" si="2"/>
        <v>59969249</v>
      </c>
      <c r="AD89" s="41"/>
      <c r="AE89" s="30">
        <v>5000</v>
      </c>
      <c r="AG89" s="30">
        <v>13462585</v>
      </c>
      <c r="AI89" s="30">
        <v>0</v>
      </c>
      <c r="AK89" s="32">
        <f>+'[1]GenRev'!Q86-'[1]GenExp'!AC85-AE89+'[1]GenRev'!S86+AG89+AI89-'[1]Gen Fd BS'!O86</f>
        <v>13457585</v>
      </c>
    </row>
    <row r="90" spans="1:37" s="32" customFormat="1" ht="12">
      <c r="A90" s="23" t="s">
        <v>74</v>
      </c>
      <c r="B90" s="23"/>
      <c r="C90" s="30">
        <v>25934630</v>
      </c>
      <c r="D90" s="30"/>
      <c r="E90" s="30">
        <v>26394477</v>
      </c>
      <c r="F90" s="30"/>
      <c r="G90" s="30">
        <v>57853507</v>
      </c>
      <c r="H90" s="30"/>
      <c r="I90" s="30">
        <v>0</v>
      </c>
      <c r="J90" s="30"/>
      <c r="K90" s="30">
        <v>948118</v>
      </c>
      <c r="L90" s="30"/>
      <c r="M90" s="30">
        <v>2941562</v>
      </c>
      <c r="N90" s="30"/>
      <c r="O90" s="30">
        <v>0</v>
      </c>
      <c r="P90" s="30"/>
      <c r="Q90" s="30">
        <v>0</v>
      </c>
      <c r="R90" s="30"/>
      <c r="S90" s="30">
        <v>930578</v>
      </c>
      <c r="T90" s="40"/>
      <c r="U90" s="30">
        <v>0</v>
      </c>
      <c r="V90" s="30"/>
      <c r="W90" s="30">
        <v>341504</v>
      </c>
      <c r="X90" s="30"/>
      <c r="Y90" s="30">
        <v>0</v>
      </c>
      <c r="Z90" s="30"/>
      <c r="AA90" s="30">
        <v>0</v>
      </c>
      <c r="AB90" s="30"/>
      <c r="AC90" s="40">
        <f t="shared" si="2"/>
        <v>115344376</v>
      </c>
      <c r="AD90" s="41"/>
      <c r="AE90" s="30">
        <v>5828758</v>
      </c>
      <c r="AG90" s="30">
        <v>74723898</v>
      </c>
      <c r="AI90" s="30">
        <v>0</v>
      </c>
      <c r="AK90" s="32">
        <f>+'[1]GenRev'!Q87-'[1]GenExp'!AC86-AE90+'[1]GenRev'!S87+AG90+AI90-'[1]Gen Fd BS'!O87</f>
        <v>0</v>
      </c>
    </row>
    <row r="91" spans="1:37" s="32" customFormat="1" ht="12">
      <c r="A91" s="23" t="s">
        <v>75</v>
      </c>
      <c r="B91" s="23"/>
      <c r="C91" s="30">
        <v>16601523</v>
      </c>
      <c r="D91" s="30"/>
      <c r="E91" s="30">
        <v>10944577</v>
      </c>
      <c r="F91" s="30"/>
      <c r="G91" s="30">
        <v>10966861</v>
      </c>
      <c r="H91" s="30"/>
      <c r="I91" s="30">
        <v>0</v>
      </c>
      <c r="J91" s="30"/>
      <c r="K91" s="30">
        <v>0</v>
      </c>
      <c r="L91" s="30"/>
      <c r="M91" s="30">
        <v>828990</v>
      </c>
      <c r="N91" s="30"/>
      <c r="O91" s="30">
        <v>0</v>
      </c>
      <c r="P91" s="30"/>
      <c r="Q91" s="30">
        <v>0</v>
      </c>
      <c r="R91" s="30"/>
      <c r="S91" s="30">
        <v>0</v>
      </c>
      <c r="T91" s="40"/>
      <c r="U91" s="30">
        <v>0</v>
      </c>
      <c r="V91" s="30"/>
      <c r="W91" s="30">
        <v>0</v>
      </c>
      <c r="X91" s="30"/>
      <c r="Y91" s="30">
        <v>58054</v>
      </c>
      <c r="Z91" s="30"/>
      <c r="AA91" s="30">
        <v>13796</v>
      </c>
      <c r="AB91" s="30"/>
      <c r="AC91" s="40">
        <f t="shared" si="2"/>
        <v>39413801</v>
      </c>
      <c r="AD91" s="41"/>
      <c r="AE91" s="30">
        <v>3052271</v>
      </c>
      <c r="AG91" s="30">
        <v>8229283</v>
      </c>
      <c r="AI91" s="30">
        <v>0</v>
      </c>
      <c r="AK91" s="32">
        <f>+'[1]GenRev'!Q88-'[1]GenExp'!AC87-AE91+'[1]GenRev'!S88+AG91+AI91-'[1]Gen Fd BS'!O88</f>
        <v>0</v>
      </c>
    </row>
    <row r="92" spans="1:37" s="32" customFormat="1" ht="12">
      <c r="A92" s="23" t="s">
        <v>76</v>
      </c>
      <c r="B92" s="23"/>
      <c r="C92" s="30">
        <v>4432351</v>
      </c>
      <c r="D92" s="30"/>
      <c r="E92" s="30">
        <v>3837760</v>
      </c>
      <c r="F92" s="30"/>
      <c r="G92" s="30">
        <v>2578031</v>
      </c>
      <c r="H92" s="30"/>
      <c r="I92" s="30">
        <v>247493</v>
      </c>
      <c r="J92" s="30"/>
      <c r="K92" s="30">
        <v>157665</v>
      </c>
      <c r="L92" s="30"/>
      <c r="M92" s="30">
        <v>540027</v>
      </c>
      <c r="N92" s="30"/>
      <c r="O92" s="30">
        <v>0</v>
      </c>
      <c r="P92" s="30"/>
      <c r="Q92" s="30">
        <v>443145</v>
      </c>
      <c r="R92" s="30"/>
      <c r="S92" s="30">
        <v>0</v>
      </c>
      <c r="T92" s="40"/>
      <c r="U92" s="30">
        <v>0</v>
      </c>
      <c r="V92" s="30"/>
      <c r="W92" s="30">
        <v>1771741</v>
      </c>
      <c r="X92" s="30"/>
      <c r="Y92" s="30">
        <v>1832</v>
      </c>
      <c r="Z92" s="30"/>
      <c r="AA92" s="30">
        <v>51</v>
      </c>
      <c r="AB92" s="30"/>
      <c r="AC92" s="40">
        <f t="shared" si="2"/>
        <v>14010096</v>
      </c>
      <c r="AD92" s="41"/>
      <c r="AE92" s="30">
        <v>7858089</v>
      </c>
      <c r="AG92" s="30">
        <v>13902812</v>
      </c>
      <c r="AI92" s="30">
        <v>0</v>
      </c>
      <c r="AK92" s="32">
        <f>+'[1]GenRev'!Q89-'[1]GenExp'!AC88-AE92+'[1]GenRev'!S89+AG92+AI92-'[1]Gen Fd BS'!O89</f>
        <v>0</v>
      </c>
    </row>
    <row r="93" spans="1:37" s="24" customFormat="1" ht="12">
      <c r="A93" s="17" t="s">
        <v>77</v>
      </c>
      <c r="B93" s="17"/>
      <c r="C93" s="30">
        <v>6688883</v>
      </c>
      <c r="D93" s="30"/>
      <c r="E93" s="30">
        <v>1976036</v>
      </c>
      <c r="F93" s="30"/>
      <c r="G93" s="30">
        <v>5260564</v>
      </c>
      <c r="H93" s="30"/>
      <c r="I93" s="30">
        <v>121782</v>
      </c>
      <c r="J93" s="30"/>
      <c r="K93" s="30">
        <v>362881</v>
      </c>
      <c r="L93" s="30"/>
      <c r="M93" s="30">
        <v>1446993</v>
      </c>
      <c r="N93" s="30"/>
      <c r="O93" s="30">
        <v>206308</v>
      </c>
      <c r="P93" s="30"/>
      <c r="Q93" s="30">
        <v>0</v>
      </c>
      <c r="R93" s="30"/>
      <c r="S93" s="30">
        <v>540062</v>
      </c>
      <c r="T93" s="40"/>
      <c r="U93" s="30">
        <v>0</v>
      </c>
      <c r="V93" s="30"/>
      <c r="W93" s="30">
        <v>0</v>
      </c>
      <c r="X93" s="30"/>
      <c r="Y93" s="30">
        <v>0</v>
      </c>
      <c r="Z93" s="30"/>
      <c r="AA93" s="30">
        <v>0</v>
      </c>
      <c r="AB93" s="30"/>
      <c r="AC93" s="40">
        <f t="shared" si="1"/>
        <v>16603509</v>
      </c>
      <c r="AD93" s="81"/>
      <c r="AE93" s="30">
        <v>1507432</v>
      </c>
      <c r="AG93" s="30">
        <v>5936592</v>
      </c>
      <c r="AI93" s="30">
        <v>0</v>
      </c>
      <c r="AK93" s="24">
        <f>+'[1]GenRev'!Q90-'[1]GenExp'!AC90-AE93+'[1]GenRev'!S90+AG93+AI93-'[1]Gen Fd BS'!O90</f>
        <v>4429160</v>
      </c>
    </row>
    <row r="94" spans="1:37" s="32" customFormat="1" ht="12">
      <c r="A94" s="23" t="s">
        <v>78</v>
      </c>
      <c r="B94" s="23"/>
      <c r="C94" s="30">
        <v>3177418</v>
      </c>
      <c r="D94" s="30"/>
      <c r="E94" s="30">
        <v>1380583</v>
      </c>
      <c r="F94" s="30"/>
      <c r="G94" s="30">
        <v>2808438</v>
      </c>
      <c r="H94" s="30"/>
      <c r="I94" s="30">
        <v>9500</v>
      </c>
      <c r="J94" s="30"/>
      <c r="K94" s="30">
        <v>38899</v>
      </c>
      <c r="L94" s="30"/>
      <c r="M94" s="30">
        <v>215595</v>
      </c>
      <c r="N94" s="30"/>
      <c r="O94" s="30">
        <v>39500</v>
      </c>
      <c r="P94" s="30"/>
      <c r="Q94" s="30">
        <v>0</v>
      </c>
      <c r="R94" s="30"/>
      <c r="S94" s="30">
        <v>0</v>
      </c>
      <c r="T94" s="40"/>
      <c r="U94" s="30">
        <v>0</v>
      </c>
      <c r="V94" s="30"/>
      <c r="W94" s="30">
        <v>266906</v>
      </c>
      <c r="X94" s="30"/>
      <c r="Y94" s="30">
        <v>0</v>
      </c>
      <c r="Z94" s="30"/>
      <c r="AA94" s="30">
        <v>0</v>
      </c>
      <c r="AB94" s="30"/>
      <c r="AC94" s="40">
        <f t="shared" si="1"/>
        <v>7936839</v>
      </c>
      <c r="AD94" s="41"/>
      <c r="AE94" s="30">
        <v>195435</v>
      </c>
      <c r="AG94" s="30">
        <v>1152917</v>
      </c>
      <c r="AI94" s="30">
        <v>0</v>
      </c>
      <c r="AK94" s="32">
        <f>+'[1]GenRev'!Q91-'[1]GenExp'!AC91-AE94+'[1]GenRev'!S91+AG94+AI94-'[1]Gen Fd BS'!O91</f>
        <v>0</v>
      </c>
    </row>
    <row r="95" spans="1:37" s="32" customFormat="1" ht="12" hidden="1">
      <c r="A95" s="23" t="s">
        <v>79</v>
      </c>
      <c r="B95" s="23"/>
      <c r="C95" s="30">
        <v>0</v>
      </c>
      <c r="D95" s="30"/>
      <c r="E95" s="30">
        <v>0</v>
      </c>
      <c r="F95" s="30"/>
      <c r="G95" s="30">
        <v>0</v>
      </c>
      <c r="H95" s="30"/>
      <c r="I95" s="30">
        <v>0</v>
      </c>
      <c r="J95" s="30"/>
      <c r="K95" s="30">
        <v>0</v>
      </c>
      <c r="L95" s="30"/>
      <c r="M95" s="30">
        <v>0</v>
      </c>
      <c r="N95" s="30"/>
      <c r="O95" s="30">
        <v>0</v>
      </c>
      <c r="P95" s="30"/>
      <c r="Q95" s="30">
        <v>0</v>
      </c>
      <c r="R95" s="30"/>
      <c r="S95" s="30">
        <v>0</v>
      </c>
      <c r="T95" s="40"/>
      <c r="U95" s="30">
        <v>0</v>
      </c>
      <c r="V95" s="30"/>
      <c r="W95" s="30">
        <v>0</v>
      </c>
      <c r="X95" s="30"/>
      <c r="Y95" s="30">
        <v>0</v>
      </c>
      <c r="Z95" s="30"/>
      <c r="AA95" s="30">
        <v>0</v>
      </c>
      <c r="AB95" s="30"/>
      <c r="AC95" s="40">
        <f t="shared" si="1"/>
        <v>0</v>
      </c>
      <c r="AD95" s="41"/>
      <c r="AE95" s="30">
        <v>0</v>
      </c>
      <c r="AG95" s="30">
        <v>0</v>
      </c>
      <c r="AI95" s="30">
        <v>0</v>
      </c>
      <c r="AK95" s="32">
        <f>+'[1]GenRev'!Q92-'[1]GenExp'!AC92-AE95+'[1]GenRev'!S92+AG95+AI95-'[1]Gen Fd BS'!O92</f>
        <v>0</v>
      </c>
    </row>
    <row r="96" spans="1:37" s="32" customFormat="1" ht="12">
      <c r="A96" s="23" t="s">
        <v>80</v>
      </c>
      <c r="B96" s="23"/>
      <c r="C96" s="30">
        <v>18339133</v>
      </c>
      <c r="D96" s="30"/>
      <c r="E96" s="30">
        <v>7515228</v>
      </c>
      <c r="F96" s="30"/>
      <c r="G96" s="30">
        <v>22324315</v>
      </c>
      <c r="H96" s="30"/>
      <c r="I96" s="30">
        <v>0</v>
      </c>
      <c r="J96" s="30"/>
      <c r="K96" s="30">
        <v>0</v>
      </c>
      <c r="L96" s="30"/>
      <c r="M96" s="30">
        <v>1168633</v>
      </c>
      <c r="N96" s="30"/>
      <c r="O96" s="30">
        <v>435536</v>
      </c>
      <c r="P96" s="30"/>
      <c r="Q96" s="30">
        <v>0</v>
      </c>
      <c r="R96" s="30"/>
      <c r="S96" s="30">
        <v>0</v>
      </c>
      <c r="T96" s="40"/>
      <c r="U96" s="30">
        <v>0</v>
      </c>
      <c r="V96" s="30"/>
      <c r="W96" s="30">
        <v>0</v>
      </c>
      <c r="X96" s="30"/>
      <c r="Y96" s="30">
        <v>8629</v>
      </c>
      <c r="Z96" s="30"/>
      <c r="AA96" s="30">
        <v>1598</v>
      </c>
      <c r="AB96" s="30"/>
      <c r="AC96" s="40">
        <f aca="true" t="shared" si="3" ref="AC96:AC101">SUM(C96:AA96)</f>
        <v>49793072</v>
      </c>
      <c r="AD96" s="41"/>
      <c r="AE96" s="30">
        <v>12128075</v>
      </c>
      <c r="AG96" s="30">
        <v>22366703</v>
      </c>
      <c r="AI96" s="30">
        <v>6639</v>
      </c>
      <c r="AK96" s="32">
        <f>+'[1]GenRev'!Q93-'[1]GenExp'!AC93-AE96+'[1]GenRev'!S93+AG96+AI96-'[1]Gen Fd BS'!O93</f>
        <v>0</v>
      </c>
    </row>
    <row r="97" spans="1:37" s="32" customFormat="1" ht="12">
      <c r="A97" s="23" t="s">
        <v>81</v>
      </c>
      <c r="B97" s="23"/>
      <c r="C97" s="30">
        <v>4638059</v>
      </c>
      <c r="D97" s="30"/>
      <c r="E97" s="30">
        <v>1353864</v>
      </c>
      <c r="F97" s="30"/>
      <c r="G97" s="30">
        <v>6755581</v>
      </c>
      <c r="H97" s="30"/>
      <c r="I97" s="30">
        <v>1767046</v>
      </c>
      <c r="J97" s="30"/>
      <c r="K97" s="30">
        <v>90072</v>
      </c>
      <c r="L97" s="30"/>
      <c r="M97" s="30">
        <v>497615</v>
      </c>
      <c r="N97" s="30"/>
      <c r="O97" s="30">
        <v>449</v>
      </c>
      <c r="P97" s="30"/>
      <c r="Q97" s="30">
        <v>0</v>
      </c>
      <c r="R97" s="30"/>
      <c r="S97" s="30">
        <v>0</v>
      </c>
      <c r="T97" s="40"/>
      <c r="U97" s="30">
        <v>0</v>
      </c>
      <c r="V97" s="30"/>
      <c r="W97" s="30">
        <v>1088116</v>
      </c>
      <c r="X97" s="30"/>
      <c r="Y97" s="30">
        <f>136185+156940</f>
        <v>293125</v>
      </c>
      <c r="Z97" s="30"/>
      <c r="AA97" s="30">
        <v>141965</v>
      </c>
      <c r="AB97" s="30"/>
      <c r="AC97" s="40">
        <f t="shared" si="3"/>
        <v>16625892</v>
      </c>
      <c r="AD97" s="41"/>
      <c r="AE97" s="30">
        <v>1690798</v>
      </c>
      <c r="AG97" s="30">
        <v>7317923</v>
      </c>
      <c r="AI97" s="30">
        <v>0</v>
      </c>
      <c r="AK97" s="32">
        <f>+'[1]GenRev'!Q94-'[1]GenExp'!AC94-AE97+'[1]GenRev'!S94+AG97+AI97-'[1]Gen Fd BS'!O94</f>
        <v>5627125</v>
      </c>
    </row>
    <row r="98" spans="1:37" s="32" customFormat="1" ht="12">
      <c r="A98" s="23" t="s">
        <v>82</v>
      </c>
      <c r="B98" s="23"/>
      <c r="C98" s="30">
        <v>7977111</v>
      </c>
      <c r="D98" s="30"/>
      <c r="E98" s="30">
        <v>5235557</v>
      </c>
      <c r="F98" s="30"/>
      <c r="G98" s="30">
        <v>9411298</v>
      </c>
      <c r="H98" s="30"/>
      <c r="I98" s="30">
        <v>169757</v>
      </c>
      <c r="J98" s="30"/>
      <c r="K98" s="30">
        <v>311242</v>
      </c>
      <c r="L98" s="30"/>
      <c r="M98" s="30">
        <v>800384</v>
      </c>
      <c r="N98" s="30"/>
      <c r="O98" s="30">
        <v>0</v>
      </c>
      <c r="P98" s="30"/>
      <c r="Q98" s="30">
        <v>86029</v>
      </c>
      <c r="R98" s="30"/>
      <c r="S98" s="30">
        <v>747460</v>
      </c>
      <c r="T98" s="40"/>
      <c r="U98" s="30">
        <v>0</v>
      </c>
      <c r="V98" s="30"/>
      <c r="W98" s="30">
        <v>0</v>
      </c>
      <c r="X98" s="30"/>
      <c r="Y98" s="30">
        <v>0</v>
      </c>
      <c r="Z98" s="30"/>
      <c r="AA98" s="30">
        <v>0</v>
      </c>
      <c r="AB98" s="30"/>
      <c r="AC98" s="40">
        <f t="shared" si="3"/>
        <v>24738838</v>
      </c>
      <c r="AD98" s="41"/>
      <c r="AE98" s="30">
        <v>221796</v>
      </c>
      <c r="AG98" s="30">
        <v>8161284</v>
      </c>
      <c r="AI98" s="30">
        <v>-6803</v>
      </c>
      <c r="AK98" s="32">
        <f>+'[1]GenRev'!Q95-'[1]GenExp'!AC95-AE98+'[1]GenRev'!S95+AG98+AI98-'[1]Gen Fd BS'!O95</f>
        <v>0</v>
      </c>
    </row>
    <row r="99" spans="1:37" s="32" customFormat="1" ht="12" hidden="1">
      <c r="A99" s="23" t="s">
        <v>174</v>
      </c>
      <c r="B99" s="23"/>
      <c r="C99" s="30">
        <v>0</v>
      </c>
      <c r="D99" s="30"/>
      <c r="E99" s="30">
        <v>0</v>
      </c>
      <c r="F99" s="30"/>
      <c r="G99" s="30">
        <v>0</v>
      </c>
      <c r="H99" s="30"/>
      <c r="I99" s="30">
        <v>0</v>
      </c>
      <c r="J99" s="30"/>
      <c r="K99" s="30">
        <v>0</v>
      </c>
      <c r="L99" s="30"/>
      <c r="M99" s="30">
        <v>0</v>
      </c>
      <c r="N99" s="30"/>
      <c r="O99" s="30">
        <v>0</v>
      </c>
      <c r="P99" s="30"/>
      <c r="Q99" s="30">
        <v>0</v>
      </c>
      <c r="R99" s="30"/>
      <c r="S99" s="30">
        <v>0</v>
      </c>
      <c r="T99" s="40"/>
      <c r="U99" s="30">
        <v>0</v>
      </c>
      <c r="V99" s="30"/>
      <c r="W99" s="30">
        <v>0</v>
      </c>
      <c r="X99" s="30"/>
      <c r="Y99" s="30">
        <v>0</v>
      </c>
      <c r="Z99" s="30"/>
      <c r="AA99" s="30">
        <v>0</v>
      </c>
      <c r="AB99" s="30"/>
      <c r="AC99" s="40">
        <f t="shared" si="3"/>
        <v>0</v>
      </c>
      <c r="AD99" s="41"/>
      <c r="AE99" s="30">
        <v>0</v>
      </c>
      <c r="AG99" s="30">
        <v>0</v>
      </c>
      <c r="AI99" s="30">
        <v>0</v>
      </c>
      <c r="AK99" s="32">
        <f>+'[1]GenRev'!Q96-'[1]GenExp'!AC96-AE99+'[1]GenRev'!S96+AG99+AI99-'[1]Gen Fd BS'!O96</f>
        <v>0</v>
      </c>
    </row>
    <row r="100" spans="1:37" s="32" customFormat="1" ht="12">
      <c r="A100" s="23" t="s">
        <v>83</v>
      </c>
      <c r="B100" s="23"/>
      <c r="C100" s="30">
        <f>16239442+502346</f>
        <v>16741788</v>
      </c>
      <c r="D100" s="30"/>
      <c r="E100" s="30">
        <v>6341713</v>
      </c>
      <c r="F100" s="30"/>
      <c r="G100" s="30">
        <v>7051511</v>
      </c>
      <c r="H100" s="30"/>
      <c r="I100" s="30">
        <v>445458</v>
      </c>
      <c r="J100" s="30"/>
      <c r="K100" s="30">
        <v>262899</v>
      </c>
      <c r="L100" s="30"/>
      <c r="M100" s="30">
        <v>516058</v>
      </c>
      <c r="N100" s="30"/>
      <c r="O100" s="30">
        <v>368045</v>
      </c>
      <c r="P100" s="30"/>
      <c r="Q100" s="30">
        <v>128272</v>
      </c>
      <c r="R100" s="30"/>
      <c r="S100" s="30">
        <v>403938</v>
      </c>
      <c r="T100" s="40"/>
      <c r="U100" s="30">
        <v>0</v>
      </c>
      <c r="V100" s="30"/>
      <c r="W100" s="30">
        <v>0</v>
      </c>
      <c r="X100" s="30"/>
      <c r="Y100" s="30">
        <v>3092</v>
      </c>
      <c r="Z100" s="30"/>
      <c r="AA100" s="30">
        <v>412</v>
      </c>
      <c r="AB100" s="30"/>
      <c r="AC100" s="40">
        <f t="shared" si="3"/>
        <v>32263186</v>
      </c>
      <c r="AD100" s="41"/>
      <c r="AE100" s="30">
        <v>1867495</v>
      </c>
      <c r="AG100" s="30">
        <v>14385074</v>
      </c>
      <c r="AI100" s="30">
        <v>0</v>
      </c>
      <c r="AK100" s="32">
        <f>+'[1]GenRev'!Q97-'[1]GenExp'!AC97-AE100+'[1]GenRev'!S97+AG100+AI100-'[1]Gen Fd BS'!O97</f>
        <v>0</v>
      </c>
    </row>
    <row r="101" spans="1:37" s="32" customFormat="1" ht="12" hidden="1">
      <c r="A101" s="23" t="s">
        <v>175</v>
      </c>
      <c r="B101" s="23"/>
      <c r="C101" s="68">
        <v>0</v>
      </c>
      <c r="D101" s="68"/>
      <c r="E101" s="68">
        <v>0</v>
      </c>
      <c r="F101" s="68"/>
      <c r="G101" s="68">
        <v>0</v>
      </c>
      <c r="H101" s="68"/>
      <c r="I101" s="68">
        <v>0</v>
      </c>
      <c r="J101" s="68"/>
      <c r="K101" s="68">
        <v>0</v>
      </c>
      <c r="L101" s="68"/>
      <c r="M101" s="68">
        <v>0</v>
      </c>
      <c r="N101" s="68"/>
      <c r="O101" s="68">
        <v>0</v>
      </c>
      <c r="P101" s="68"/>
      <c r="Q101" s="68">
        <v>0</v>
      </c>
      <c r="R101" s="68"/>
      <c r="S101" s="68">
        <v>0</v>
      </c>
      <c r="T101" s="68"/>
      <c r="U101" s="68">
        <v>0</v>
      </c>
      <c r="V101" s="68"/>
      <c r="W101" s="68">
        <v>0</v>
      </c>
      <c r="X101" s="68"/>
      <c r="Y101" s="68">
        <v>0</v>
      </c>
      <c r="Z101" s="68"/>
      <c r="AA101" s="68">
        <v>0</v>
      </c>
      <c r="AB101" s="68"/>
      <c r="AC101" s="40">
        <f t="shared" si="3"/>
        <v>0</v>
      </c>
      <c r="AD101" s="41"/>
      <c r="AE101" s="30">
        <v>0</v>
      </c>
      <c r="AG101" s="30">
        <v>0</v>
      </c>
      <c r="AI101" s="32">
        <v>0</v>
      </c>
      <c r="AK101" s="32">
        <f>+GenRev!Q99-GenExp!AC101-AE101+GenRev!S99+AG101+AI101-'Gen Fd BS'!O99</f>
        <v>-1699336</v>
      </c>
    </row>
    <row r="102" spans="1:31" s="32" customFormat="1" ht="12">
      <c r="A102" s="23"/>
      <c r="B102" s="23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23"/>
    </row>
    <row r="103" spans="1:31" s="32" customFormat="1" ht="12">
      <c r="A103" s="23"/>
      <c r="B103" s="23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23"/>
    </row>
    <row r="104" spans="1:31" s="32" customFormat="1" ht="12">
      <c r="A104" s="23"/>
      <c r="B104" s="23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23"/>
    </row>
    <row r="105" spans="1:31" s="32" customFormat="1" ht="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s="32" customFormat="1" ht="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s="32" customFormat="1" ht="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s="32" customFormat="1" ht="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="32" customFormat="1" ht="12"/>
    <row r="110" s="32" customFormat="1" ht="12"/>
    <row r="111" s="32" customFormat="1" ht="12"/>
    <row r="112" s="32" customFormat="1" ht="12"/>
    <row r="113" s="32" customFormat="1" ht="12"/>
    <row r="114" s="32" customFormat="1" ht="12"/>
    <row r="115" s="32" customFormat="1" ht="12"/>
    <row r="116" s="32" customFormat="1" ht="12"/>
    <row r="117" s="32" customFormat="1" ht="12"/>
    <row r="118" s="32" customFormat="1" ht="12"/>
    <row r="119" s="32" customFormat="1" ht="12"/>
    <row r="120" s="32" customFormat="1" ht="12"/>
    <row r="121" s="32" customFormat="1" ht="12"/>
    <row r="122" s="32" customFormat="1" ht="12"/>
    <row r="123" s="32" customFormat="1" ht="12"/>
    <row r="124" s="32" customFormat="1" ht="12"/>
    <row r="125" s="32" customFormat="1" ht="12"/>
    <row r="126" s="32" customFormat="1" ht="12"/>
    <row r="127" s="32" customFormat="1" ht="12"/>
    <row r="128" s="32" customFormat="1" ht="12"/>
    <row r="129" s="32" customFormat="1" ht="12"/>
    <row r="130" s="32" customFormat="1" ht="12"/>
    <row r="131" s="32" customFormat="1" ht="12"/>
    <row r="132" s="32" customFormat="1" ht="12"/>
    <row r="133" s="32" customFormat="1" ht="12"/>
    <row r="134" s="32" customFormat="1" ht="12"/>
    <row r="135" s="32" customFormat="1" ht="12"/>
    <row r="136" s="32" customFormat="1" ht="12"/>
    <row r="137" s="32" customFormat="1" ht="12"/>
    <row r="138" s="32" customFormat="1" ht="12"/>
    <row r="139" s="32" customFormat="1" ht="12"/>
    <row r="140" s="32" customFormat="1" ht="12"/>
    <row r="141" s="32" customFormat="1" ht="12"/>
    <row r="142" s="32" customFormat="1" ht="12"/>
    <row r="143" s="32" customFormat="1" ht="12"/>
    <row r="144" s="32" customFormat="1" ht="12"/>
    <row r="145" s="32" customFormat="1" ht="12"/>
    <row r="146" s="32" customFormat="1" ht="12"/>
    <row r="147" s="32" customFormat="1" ht="12"/>
    <row r="148" s="32" customFormat="1" ht="12"/>
    <row r="149" s="32" customFormat="1" ht="12"/>
    <row r="150" s="32" customFormat="1" ht="12"/>
    <row r="151" s="32" customFormat="1" ht="12"/>
    <row r="152" s="32" customFormat="1" ht="12"/>
    <row r="153" s="32" customFormat="1" ht="12"/>
    <row r="154" s="32" customFormat="1" ht="12"/>
    <row r="155" s="32" customFormat="1" ht="12"/>
    <row r="156" s="32" customFormat="1" ht="12"/>
    <row r="157" s="32" customFormat="1" ht="12"/>
    <row r="158" s="32" customFormat="1" ht="12"/>
    <row r="159" s="32" customFormat="1" ht="12"/>
    <row r="160" s="32" customFormat="1" ht="12"/>
    <row r="161" s="32" customFormat="1" ht="12"/>
    <row r="162" s="32" customFormat="1" ht="12"/>
    <row r="163" s="32" customFormat="1" ht="12"/>
    <row r="164" s="32" customFormat="1" ht="12"/>
    <row r="165" s="32" customFormat="1" ht="12"/>
    <row r="166" s="32" customFormat="1" ht="12"/>
    <row r="167" s="32" customFormat="1" ht="12"/>
    <row r="168" s="32" customFormat="1" ht="12"/>
    <row r="169" s="32" customFormat="1" ht="12"/>
    <row r="170" s="32" customFormat="1" ht="12"/>
    <row r="171" s="32" customFormat="1" ht="12"/>
    <row r="172" s="32" customFormat="1" ht="12"/>
    <row r="173" s="32" customFormat="1" ht="12"/>
    <row r="174" s="32" customFormat="1" ht="12"/>
    <row r="175" s="32" customFormat="1" ht="12"/>
    <row r="176" s="32" customFormat="1" ht="12"/>
    <row r="177" s="32" customFormat="1" ht="12"/>
    <row r="178" s="32" customFormat="1" ht="12"/>
    <row r="179" s="32" customFormat="1" ht="12"/>
    <row r="180" s="32" customFormat="1" ht="12"/>
    <row r="181" s="32" customFormat="1" ht="12"/>
    <row r="182" s="32" customFormat="1" ht="12"/>
    <row r="183" s="32" customFormat="1" ht="12"/>
    <row r="184" s="32" customFormat="1" ht="12"/>
    <row r="185" s="32" customFormat="1" ht="12"/>
    <row r="186" s="32" customFormat="1" ht="12"/>
    <row r="187" s="32" customFormat="1" ht="12"/>
    <row r="188" s="32" customFormat="1" ht="12"/>
    <row r="189" s="32" customFormat="1" ht="12"/>
    <row r="190" s="32" customFormat="1" ht="12"/>
    <row r="191" s="32" customFormat="1" ht="12"/>
    <row r="192" s="32" customFormat="1" ht="12"/>
    <row r="193" s="32" customFormat="1" ht="12"/>
    <row r="194" s="32" customFormat="1" ht="12"/>
    <row r="195" s="32" customFormat="1" ht="12"/>
    <row r="196" s="32" customFormat="1" ht="12"/>
    <row r="197" s="32" customFormat="1" ht="12"/>
    <row r="198" s="32" customFormat="1" ht="12"/>
    <row r="199" s="32" customFormat="1" ht="12"/>
    <row r="200" s="32" customFormat="1" ht="12"/>
    <row r="201" s="32" customFormat="1" ht="12"/>
    <row r="202" s="32" customFormat="1" ht="12"/>
    <row r="203" s="32" customFormat="1" ht="12"/>
    <row r="204" s="32" customFormat="1" ht="12"/>
    <row r="205" s="32" customFormat="1" ht="12"/>
    <row r="206" s="32" customFormat="1" ht="12"/>
    <row r="207" s="32" customFormat="1" ht="12"/>
    <row r="208" s="32" customFormat="1" ht="12"/>
    <row r="209" s="34" customFormat="1" ht="12.75"/>
    <row r="210" s="34" customFormat="1" ht="12.75"/>
    <row r="211" s="34" customFormat="1" ht="12.75"/>
    <row r="212" s="34" customFormat="1" ht="12.75"/>
    <row r="213" s="34" customFormat="1" ht="12.75"/>
    <row r="214" s="34" customFormat="1" ht="12.75"/>
    <row r="215" s="34" customFormat="1" ht="12.75"/>
    <row r="216" s="34" customFormat="1" ht="12.75"/>
    <row r="217" s="34" customFormat="1" ht="12.75"/>
    <row r="218" s="34" customFormat="1" ht="12.75"/>
    <row r="219" s="34" customFormat="1" ht="12.75"/>
    <row r="220" s="34" customFormat="1" ht="12.75"/>
    <row r="221" s="34" customFormat="1" ht="12.75"/>
    <row r="222" s="34" customFormat="1" ht="12.75"/>
    <row r="223" s="34" customFormat="1" ht="12.75"/>
    <row r="224" s="34" customFormat="1" ht="12.75"/>
    <row r="225" s="34" customFormat="1" ht="12.75"/>
    <row r="226" s="34" customFormat="1" ht="12.75"/>
    <row r="227" s="34" customFormat="1" ht="12.75"/>
    <row r="228" s="34" customFormat="1" ht="12.75"/>
    <row r="229" s="34" customFormat="1" ht="12.75"/>
    <row r="230" s="34" customFormat="1" ht="12.75"/>
    <row r="231" s="34" customFormat="1" ht="12.75"/>
    <row r="232" s="34" customFormat="1" ht="12.75"/>
    <row r="233" s="34" customFormat="1" ht="12.75"/>
    <row r="234" s="34" customFormat="1" ht="12.75"/>
    <row r="235" s="34" customFormat="1" ht="12.75"/>
    <row r="236" s="34" customFormat="1" ht="12.75"/>
    <row r="237" s="34" customFormat="1" ht="12.75"/>
    <row r="238" s="34" customFormat="1" ht="12.75"/>
    <row r="239" s="34" customFormat="1" ht="12.75"/>
    <row r="240" s="34" customFormat="1" ht="12.75"/>
    <row r="241" s="34" customFormat="1" ht="12.75"/>
    <row r="242" s="34" customFormat="1" ht="12.75"/>
    <row r="243" s="34" customFormat="1" ht="12.75"/>
    <row r="244" s="34" customFormat="1" ht="12.75"/>
    <row r="245" s="34" customFormat="1" ht="12.75"/>
    <row r="246" s="34" customFormat="1" ht="12.75"/>
    <row r="247" s="34" customFormat="1" ht="12.75"/>
    <row r="248" s="34" customFormat="1" ht="12.75"/>
    <row r="249" s="34" customFormat="1" ht="12.75"/>
    <row r="250" s="34" customFormat="1" ht="12.75"/>
    <row r="251" s="34" customFormat="1" ht="12.75"/>
    <row r="252" s="34" customFormat="1" ht="12.75"/>
    <row r="253" s="34" customFormat="1" ht="12.75"/>
    <row r="254" s="34" customFormat="1" ht="12.75"/>
    <row r="255" s="34" customFormat="1" ht="12.75"/>
    <row r="256" s="34" customFormat="1" ht="12.75"/>
    <row r="257" s="34" customFormat="1" ht="12.75"/>
    <row r="258" s="34" customFormat="1" ht="12.75"/>
    <row r="259" s="34" customFormat="1" ht="12.75"/>
    <row r="260" s="34" customFormat="1" ht="12.75"/>
    <row r="261" s="34" customFormat="1" ht="12.75"/>
    <row r="262" s="34" customFormat="1" ht="12.75"/>
    <row r="263" s="34" customFormat="1" ht="12.75"/>
    <row r="264" s="34" customFormat="1" ht="12.75"/>
    <row r="265" s="34" customFormat="1" ht="12.75"/>
    <row r="266" s="34" customFormat="1" ht="12.75"/>
    <row r="267" s="34" customFormat="1" ht="12.75"/>
    <row r="268" s="34" customFormat="1" ht="12.75"/>
    <row r="269" s="34" customFormat="1" ht="12.75"/>
    <row r="270" s="34" customFormat="1" ht="12.75"/>
    <row r="271" s="34" customFormat="1" ht="12.75"/>
    <row r="272" s="34" customFormat="1" ht="12.75"/>
    <row r="273" s="34" customFormat="1" ht="12.75"/>
    <row r="274" s="34" customFormat="1" ht="12.75"/>
    <row r="275" s="34" customFormat="1" ht="12.75"/>
    <row r="276" s="34" customFormat="1" ht="12.75"/>
    <row r="277" s="34" customFormat="1" ht="12.75"/>
    <row r="278" s="34" customFormat="1" ht="12.75"/>
    <row r="279" s="34" customFormat="1" ht="12.75"/>
    <row r="280" s="34" customFormat="1" ht="12.75"/>
    <row r="281" s="34" customFormat="1" ht="12.75"/>
    <row r="282" s="34" customFormat="1" ht="12.75"/>
    <row r="283" s="34" customFormat="1" ht="12.75"/>
    <row r="284" s="34" customFormat="1" ht="12.75"/>
    <row r="285" s="34" customFormat="1" ht="12.75"/>
    <row r="286" s="34" customFormat="1" ht="12.75"/>
    <row r="287" s="34" customFormat="1" ht="12.75"/>
    <row r="288" s="34" customFormat="1" ht="12.75"/>
    <row r="289" s="34" customFormat="1" ht="12.75"/>
    <row r="290" s="34" customFormat="1" ht="12.75"/>
    <row r="291" s="34" customFormat="1" ht="12.75"/>
    <row r="292" s="34" customFormat="1" ht="12.75"/>
    <row r="293" s="34" customFormat="1" ht="12.75"/>
    <row r="294" s="34" customFormat="1" ht="12.75"/>
    <row r="295" s="34" customFormat="1" ht="12.75"/>
    <row r="296" s="34" customFormat="1" ht="12.75"/>
    <row r="297" s="34" customFormat="1" ht="12.75"/>
    <row r="298" s="34" customFormat="1" ht="12.75"/>
    <row r="299" s="34" customFormat="1" ht="12.75"/>
    <row r="300" s="34" customFormat="1" ht="12.75"/>
    <row r="301" s="34" customFormat="1" ht="12.75"/>
    <row r="302" s="34" customFormat="1" ht="12.75"/>
    <row r="303" s="34" customFormat="1" ht="12.75"/>
    <row r="304" s="34" customFormat="1" ht="12.75"/>
    <row r="305" s="34" customFormat="1" ht="12.75"/>
    <row r="306" s="34" customFormat="1" ht="12.75"/>
    <row r="307" s="34" customFormat="1" ht="12.75"/>
    <row r="308" s="34" customFormat="1" ht="12.75"/>
    <row r="309" s="34" customFormat="1" ht="12.75"/>
    <row r="310" s="34" customFormat="1" ht="12.75"/>
    <row r="311" s="34" customFormat="1" ht="12.75"/>
    <row r="312" s="34" customFormat="1" ht="12.75"/>
    <row r="313" s="34" customFormat="1" ht="12.75"/>
    <row r="314" s="34" customFormat="1" ht="12.75"/>
    <row r="315" s="34" customFormat="1" ht="12.75"/>
    <row r="316" s="34" customFormat="1" ht="12.75"/>
    <row r="317" s="34" customFormat="1" ht="12.75"/>
    <row r="318" s="34" customFormat="1" ht="12.75"/>
    <row r="319" s="34" customFormat="1" ht="12.75"/>
    <row r="320" s="34" customFormat="1" ht="12.75"/>
    <row r="321" s="34" customFormat="1" ht="12.75"/>
    <row r="322" s="34" customFormat="1" ht="12.75"/>
    <row r="323" s="34" customFormat="1" ht="12.75"/>
    <row r="324" s="34" customFormat="1" ht="12.75"/>
    <row r="325" s="34" customFormat="1" ht="12.75"/>
    <row r="326" s="34" customFormat="1" ht="12.75"/>
    <row r="327" s="34" customFormat="1" ht="12.75"/>
    <row r="328" s="34" customFormat="1" ht="12.75"/>
    <row r="329" s="34" customFormat="1" ht="12.75"/>
    <row r="330" s="34" customFormat="1" ht="12.75"/>
    <row r="331" s="34" customFormat="1" ht="12.75"/>
    <row r="332" s="34" customFormat="1" ht="12.75"/>
    <row r="333" s="34" customFormat="1" ht="12.75"/>
    <row r="334" s="34" customFormat="1" ht="12.75"/>
    <row r="335" s="34" customFormat="1" ht="12.75"/>
    <row r="336" s="34" customFormat="1" ht="12.75"/>
    <row r="337" s="34" customFormat="1" ht="12.75"/>
    <row r="338" s="34" customFormat="1" ht="12.75"/>
    <row r="339" s="34" customFormat="1" ht="12.75"/>
    <row r="340" s="34" customFormat="1" ht="12.75"/>
    <row r="341" s="34" customFormat="1" ht="12.75"/>
    <row r="342" s="34" customFormat="1" ht="12.75"/>
    <row r="343" s="34" customFormat="1" ht="12.75"/>
    <row r="344" s="34" customFormat="1" ht="12.75"/>
    <row r="345" s="34" customFormat="1" ht="12.75"/>
    <row r="346" s="34" customFormat="1" ht="12.75"/>
    <row r="347" s="34" customFormat="1" ht="12.75"/>
    <row r="348" s="34" customFormat="1" ht="12.75"/>
    <row r="349" s="34" customFormat="1" ht="12.75"/>
    <row r="350" s="34" customFormat="1" ht="12.75"/>
    <row r="351" s="34" customFormat="1" ht="12.75"/>
    <row r="352" s="34" customFormat="1" ht="12.75"/>
    <row r="353" s="34" customFormat="1" ht="12.75"/>
    <row r="354" s="34" customFormat="1" ht="12.75"/>
    <row r="355" s="34" customFormat="1" ht="12.75"/>
    <row r="356" s="34" customFormat="1" ht="12.75"/>
    <row r="357" s="34" customFormat="1" ht="12.75"/>
    <row r="358" s="34" customFormat="1" ht="12.75"/>
    <row r="359" s="34" customFormat="1" ht="12.75"/>
    <row r="360" s="34" customFormat="1" ht="12.75"/>
    <row r="361" s="34" customFormat="1" ht="12.75"/>
    <row r="362" s="34" customFormat="1" ht="12.75"/>
    <row r="363" s="34" customFormat="1" ht="12.75"/>
    <row r="364" s="34" customFormat="1" ht="12.75"/>
    <row r="365" s="34" customFormat="1" ht="12.75"/>
    <row r="366" s="34" customFormat="1" ht="12.75"/>
    <row r="367" s="34" customFormat="1" ht="12.75"/>
    <row r="368" s="34" customFormat="1" ht="12.75"/>
    <row r="369" s="34" customFormat="1" ht="12.75"/>
    <row r="370" s="34" customFormat="1" ht="12.75"/>
    <row r="371" s="34" customFormat="1" ht="12.75"/>
    <row r="372" s="34" customFormat="1" ht="12.75"/>
    <row r="373" s="34" customFormat="1" ht="12.75"/>
    <row r="374" s="34" customFormat="1" ht="12.75"/>
    <row r="375" s="34" customFormat="1" ht="12.75"/>
    <row r="376" s="34" customFormat="1" ht="12.75"/>
    <row r="377" s="34" customFormat="1" ht="12.75"/>
    <row r="378" s="34" customFormat="1" ht="12.75"/>
    <row r="379" s="34" customFormat="1" ht="12.75"/>
    <row r="380" s="34" customFormat="1" ht="12.75"/>
    <row r="381" s="34" customFormat="1" ht="12.75"/>
    <row r="382" s="34" customFormat="1" ht="12.75"/>
    <row r="383" s="34" customFormat="1" ht="12.75"/>
    <row r="384" s="34" customFormat="1" ht="12.75"/>
    <row r="385" s="34" customFormat="1" ht="12.75"/>
    <row r="386" s="34" customFormat="1" ht="12.75"/>
    <row r="387" s="34" customFormat="1" ht="12.75"/>
    <row r="388" s="34" customFormat="1" ht="12.75"/>
    <row r="389" s="34" customFormat="1" ht="12.75"/>
    <row r="390" s="34" customFormat="1" ht="12.75"/>
    <row r="391" s="34" customFormat="1" ht="12.75"/>
    <row r="392" s="34" customFormat="1" ht="12.75"/>
    <row r="393" s="34" customFormat="1" ht="12.75"/>
    <row r="394" s="34" customFormat="1" ht="12.75"/>
    <row r="395" s="34" customFormat="1" ht="12.75"/>
    <row r="396" s="34" customFormat="1" ht="12.75"/>
    <row r="397" s="34" customFormat="1" ht="12.75"/>
    <row r="398" s="34" customFormat="1" ht="12.75"/>
    <row r="399" s="34" customFormat="1" ht="12.75"/>
    <row r="400" s="34" customFormat="1" ht="12.75"/>
    <row r="401" s="34" customFormat="1" ht="12.75"/>
    <row r="402" s="34" customFormat="1" ht="12.75"/>
    <row r="403" s="34" customFormat="1" ht="12.75"/>
    <row r="404" s="34" customFormat="1" ht="12.75"/>
    <row r="405" s="34" customFormat="1" ht="12.75"/>
    <row r="406" s="34" customFormat="1" ht="12.75"/>
    <row r="407" s="34" customFormat="1" ht="12.75"/>
    <row r="408" s="34" customFormat="1" ht="12.75"/>
    <row r="409" s="34" customFormat="1" ht="12.75"/>
    <row r="410" s="34" customFormat="1" ht="12.75"/>
    <row r="411" s="34" customFormat="1" ht="12.75"/>
    <row r="412" s="34" customFormat="1" ht="12.75"/>
    <row r="413" s="34" customFormat="1" ht="12.75"/>
    <row r="414" s="34" customFormat="1" ht="12.75"/>
    <row r="415" s="34" customFormat="1" ht="12.75"/>
    <row r="416" s="34" customFormat="1" ht="12.75"/>
    <row r="417" s="34" customFormat="1" ht="12.75"/>
    <row r="418" s="34" customFormat="1" ht="12.75"/>
    <row r="419" s="34" customFormat="1" ht="12.75"/>
    <row r="420" s="34" customFormat="1" ht="12.75"/>
    <row r="421" s="34" customFormat="1" ht="12.75"/>
    <row r="422" s="34" customFormat="1" ht="12.75"/>
    <row r="423" s="34" customFormat="1" ht="12.75"/>
    <row r="424" s="34" customFormat="1" ht="12.75"/>
    <row r="425" s="34" customFormat="1" ht="12.75"/>
    <row r="426" s="34" customFormat="1" ht="12.75"/>
    <row r="427" s="34" customFormat="1" ht="12.75"/>
    <row r="428" s="34" customFormat="1" ht="12.75"/>
    <row r="429" s="34" customFormat="1" ht="12.75"/>
    <row r="430" s="34" customFormat="1" ht="12.75"/>
    <row r="431" s="34" customFormat="1" ht="12.75"/>
    <row r="432" s="34" customFormat="1" ht="12.75"/>
    <row r="433" s="34" customFormat="1" ht="12.75"/>
    <row r="434" s="34" customFormat="1" ht="12.75"/>
    <row r="435" s="34" customFormat="1" ht="12.75"/>
    <row r="436" s="34" customFormat="1" ht="12.75"/>
    <row r="437" s="34" customFormat="1" ht="12.75"/>
    <row r="438" s="34" customFormat="1" ht="12.75"/>
    <row r="439" s="34" customFormat="1" ht="12.75"/>
    <row r="440" s="34" customFormat="1" ht="12.75"/>
    <row r="441" s="34" customFormat="1" ht="12.75"/>
    <row r="442" s="34" customFormat="1" ht="12.75"/>
    <row r="443" s="34" customFormat="1" ht="12.75"/>
    <row r="444" s="34" customFormat="1" ht="12.75"/>
    <row r="445" s="34" customFormat="1" ht="12.75"/>
    <row r="446" s="34" customFormat="1" ht="12.75"/>
    <row r="447" s="34" customFormat="1" ht="12.75"/>
    <row r="448" s="34" customFormat="1" ht="12.75"/>
    <row r="449" s="34" customFormat="1" ht="12.75"/>
    <row r="450" s="34" customFormat="1" ht="12.75"/>
    <row r="451" s="34" customFormat="1" ht="12.75"/>
    <row r="452" s="34" customFormat="1" ht="12.75"/>
    <row r="453" s="34" customFormat="1" ht="12.75"/>
    <row r="454" s="34" customFormat="1" ht="12.75"/>
    <row r="455" s="34" customFormat="1" ht="12.75"/>
    <row r="456" s="34" customFormat="1" ht="12.75"/>
    <row r="457" s="34" customFormat="1" ht="12.75"/>
    <row r="458" s="34" customFormat="1" ht="12.75"/>
    <row r="459" s="34" customFormat="1" ht="12.75"/>
    <row r="460" s="34" customFormat="1" ht="12.75"/>
    <row r="461" s="34" customFormat="1" ht="12.75"/>
    <row r="462" s="34" customFormat="1" ht="12.75"/>
    <row r="463" s="34" customFormat="1" ht="12.75"/>
    <row r="464" s="34" customFormat="1" ht="12.75"/>
    <row r="465" s="34" customFormat="1" ht="12.75"/>
    <row r="466" s="34" customFormat="1" ht="12.75"/>
    <row r="467" s="34" customFormat="1" ht="12.75"/>
    <row r="468" s="34" customFormat="1" ht="12.75"/>
    <row r="469" s="34" customFormat="1" ht="12.75"/>
    <row r="470" s="34" customFormat="1" ht="12.75"/>
    <row r="471" s="34" customFormat="1" ht="12.75"/>
    <row r="472" s="34" customFormat="1" ht="12.75"/>
    <row r="473" s="34" customFormat="1" ht="12.75"/>
    <row r="474" s="34" customFormat="1" ht="12.75"/>
    <row r="475" s="34" customFormat="1" ht="12.75"/>
    <row r="476" s="34" customFormat="1" ht="12.75"/>
    <row r="477" s="34" customFormat="1" ht="12.75"/>
    <row r="478" s="34" customFormat="1" ht="12.75"/>
    <row r="479" s="34" customFormat="1" ht="12.75"/>
    <row r="480" s="34" customFormat="1" ht="12.75"/>
    <row r="481" s="34" customFormat="1" ht="12.75"/>
    <row r="482" s="34" customFormat="1" ht="12.75"/>
    <row r="483" s="34" customFormat="1" ht="12.75"/>
    <row r="484" s="34" customFormat="1" ht="12.75"/>
    <row r="485" s="34" customFormat="1" ht="12.75"/>
    <row r="486" s="34" customFormat="1" ht="12.75"/>
    <row r="487" s="34" customFormat="1" ht="12.75"/>
    <row r="488" s="34" customFormat="1" ht="12.75"/>
    <row r="489" s="34" customFormat="1" ht="12.75"/>
    <row r="490" s="34" customFormat="1" ht="12.75"/>
    <row r="491" s="34" customFormat="1" ht="12.75"/>
    <row r="492" s="34" customFormat="1" ht="12.75"/>
    <row r="493" s="34" customFormat="1" ht="12.75"/>
    <row r="494" s="34" customFormat="1" ht="12.75"/>
    <row r="495" s="34" customFormat="1" ht="12.75"/>
    <row r="496" s="34" customFormat="1" ht="12.75"/>
    <row r="497" s="34" customFormat="1" ht="12.75"/>
    <row r="498" s="34" customFormat="1" ht="12.75"/>
    <row r="499" s="34" customFormat="1" ht="12.75"/>
    <row r="500" s="34" customFormat="1" ht="12.75"/>
    <row r="501" s="34" customFormat="1" ht="12.75"/>
    <row r="502" s="34" customFormat="1" ht="12.75"/>
    <row r="503" s="34" customFormat="1" ht="12.75"/>
    <row r="504" s="34" customFormat="1" ht="12.75"/>
    <row r="505" s="34" customFormat="1" ht="12.75"/>
    <row r="506" s="34" customFormat="1" ht="12.75"/>
    <row r="507" s="34" customFormat="1" ht="12.75"/>
    <row r="508" s="34" customFormat="1" ht="12.75"/>
    <row r="509" s="34" customFormat="1" ht="12.75"/>
    <row r="510" s="34" customFormat="1" ht="12.75"/>
    <row r="511" s="34" customFormat="1" ht="12.75"/>
    <row r="512" s="34" customFormat="1" ht="12.75"/>
    <row r="513" s="34" customFormat="1" ht="12.75"/>
    <row r="514" s="34" customFormat="1" ht="12.75"/>
    <row r="515" s="34" customFormat="1" ht="12.75"/>
    <row r="516" s="34" customFormat="1" ht="12.75"/>
    <row r="517" s="34" customFormat="1" ht="12.75"/>
    <row r="518" s="34" customFormat="1" ht="12.75"/>
    <row r="519" s="34" customFormat="1" ht="12.75"/>
    <row r="520" s="34" customFormat="1" ht="12.75"/>
    <row r="521" s="34" customFormat="1" ht="12.75"/>
    <row r="522" s="34" customFormat="1" ht="12.75"/>
    <row r="523" s="34" customFormat="1" ht="12.75"/>
    <row r="524" s="34" customFormat="1" ht="12.75"/>
    <row r="525" s="34" customFormat="1" ht="12.75"/>
    <row r="526" s="34" customFormat="1" ht="12.75"/>
    <row r="527" s="34" customFormat="1" ht="12.75"/>
    <row r="528" s="34" customFormat="1" ht="12.75"/>
    <row r="529" s="34" customFormat="1" ht="12.75"/>
    <row r="530" s="34" customFormat="1" ht="12.75"/>
    <row r="531" s="34" customFormat="1" ht="12.75"/>
    <row r="532" s="34" customFormat="1" ht="12.75"/>
    <row r="533" s="34" customFormat="1" ht="12.75"/>
    <row r="534" s="34" customFormat="1" ht="12.75"/>
    <row r="535" s="34" customFormat="1" ht="12.75"/>
    <row r="536" s="34" customFormat="1" ht="12.75"/>
    <row r="537" s="34" customFormat="1" ht="12.75"/>
    <row r="538" s="34" customFormat="1" ht="12.75"/>
    <row r="539" s="34" customFormat="1" ht="12.75"/>
    <row r="540" s="34" customFormat="1" ht="12.75"/>
    <row r="541" s="34" customFormat="1" ht="12.75"/>
    <row r="542" s="34" customFormat="1" ht="12.75"/>
    <row r="543" s="34" customFormat="1" ht="12.75"/>
    <row r="544" s="34" customFormat="1" ht="12.75"/>
    <row r="545" s="34" customFormat="1" ht="12.75"/>
    <row r="546" s="34" customFormat="1" ht="12.75"/>
    <row r="547" s="34" customFormat="1" ht="12.75"/>
    <row r="548" s="34" customFormat="1" ht="12.75"/>
    <row r="549" s="34" customFormat="1" ht="12.75"/>
    <row r="550" s="34" customFormat="1" ht="12.75"/>
    <row r="551" s="34" customFormat="1" ht="12.75"/>
    <row r="552" s="34" customFormat="1" ht="12.75"/>
    <row r="553" s="34" customFormat="1" ht="12.75"/>
    <row r="554" s="34" customFormat="1" ht="12.75"/>
    <row r="555" s="34" customFormat="1" ht="12.75"/>
    <row r="556" s="34" customFormat="1" ht="12.75"/>
    <row r="557" s="34" customFormat="1" ht="12.75"/>
    <row r="558" s="34" customFormat="1" ht="12.75"/>
    <row r="559" s="34" customFormat="1" ht="12.75"/>
    <row r="560" s="34" customFormat="1" ht="12.75"/>
    <row r="561" s="34" customFormat="1" ht="12.75"/>
    <row r="562" s="34" customFormat="1" ht="12.75"/>
    <row r="563" s="34" customFormat="1" ht="12.75"/>
    <row r="564" s="34" customFormat="1" ht="12.75"/>
    <row r="565" s="34" customFormat="1" ht="12.75"/>
    <row r="566" s="34" customFormat="1" ht="12.75"/>
    <row r="567" s="34" customFormat="1" ht="12.75"/>
    <row r="568" s="34" customFormat="1" ht="12.75"/>
    <row r="569" s="34" customFormat="1" ht="12.75"/>
    <row r="570" s="34" customFormat="1" ht="12.75"/>
    <row r="571" s="34" customFormat="1" ht="12.75"/>
    <row r="572" s="34" customFormat="1" ht="12.75"/>
    <row r="573" s="34" customFormat="1" ht="12.75"/>
    <row r="574" s="34" customFormat="1" ht="12.75"/>
    <row r="575" s="34" customFormat="1" ht="12.75"/>
    <row r="576" s="34" customFormat="1" ht="12.75"/>
    <row r="577" s="34" customFormat="1" ht="12.75"/>
    <row r="578" s="34" customFormat="1" ht="12.75"/>
    <row r="579" s="34" customFormat="1" ht="12.75"/>
    <row r="580" s="34" customFormat="1" ht="12.75"/>
    <row r="581" s="34" customFormat="1" ht="12.75"/>
    <row r="582" s="34" customFormat="1" ht="12.75"/>
    <row r="583" s="34" customFormat="1" ht="12.75"/>
    <row r="584" s="34" customFormat="1" ht="12.75"/>
    <row r="585" s="34" customFormat="1" ht="12.75"/>
    <row r="586" s="34" customFormat="1" ht="12.75"/>
    <row r="587" s="34" customFormat="1" ht="12.75"/>
    <row r="588" s="34" customFormat="1" ht="12.75"/>
    <row r="589" s="34" customFormat="1" ht="12.75"/>
    <row r="590" s="34" customFormat="1" ht="12.75"/>
    <row r="591" s="34" customFormat="1" ht="12.75"/>
    <row r="592" s="34" customFormat="1" ht="12.75"/>
    <row r="593" s="34" customFormat="1" ht="12.75"/>
    <row r="594" s="34" customFormat="1" ht="12.75"/>
    <row r="595" s="34" customFormat="1" ht="12.75"/>
    <row r="596" s="34" customFormat="1" ht="12.75"/>
    <row r="597" s="34" customFormat="1" ht="12.75"/>
    <row r="598" s="34" customFormat="1" ht="12.75"/>
    <row r="599" s="34" customFormat="1" ht="12.75"/>
    <row r="600" s="34" customFormat="1" ht="12.75"/>
    <row r="601" s="34" customFormat="1" ht="12.75"/>
    <row r="602" s="34" customFormat="1" ht="12.75"/>
    <row r="603" s="34" customFormat="1" ht="12.75"/>
    <row r="604" s="34" customFormat="1" ht="12.75"/>
    <row r="605" s="34" customFormat="1" ht="12.75"/>
    <row r="606" s="34" customFormat="1" ht="12.75"/>
    <row r="607" s="34" customFormat="1" ht="12.75"/>
  </sheetData>
  <sheetProtection/>
  <printOptions/>
  <pageMargins left="0.5" right="0.5" top="0.5" bottom="0.5" header="0" footer="0.25"/>
  <pageSetup firstPageNumber="28" useFirstPageNumber="1" fitToHeight="2" fitToWidth="2" horizontalDpi="600" verticalDpi="600" orientation="portrait" pageOrder="overThenDown" scale="90" r:id="rId1"/>
  <headerFooter alignWithMargins="0">
    <oddFooter>&amp;C&amp;"Times New Roman,Regular"&amp;11&amp;P</oddFooter>
  </headerFooter>
  <rowBreaks count="1" manualBreakCount="1">
    <brk id="86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IU110"/>
  <sheetViews>
    <sheetView zoomScalePageLayoutView="0" workbookViewId="0" topLeftCell="A1">
      <pane xSplit="1" ySplit="8" topLeftCell="B7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Q109" sqref="Q109"/>
    </sheetView>
  </sheetViews>
  <sheetFormatPr defaultColWidth="9.140625" defaultRowHeight="12.75"/>
  <cols>
    <col min="1" max="1" width="16.28125" style="73" customWidth="1"/>
    <col min="2" max="2" width="1.7109375" style="73" customWidth="1"/>
    <col min="3" max="3" width="11.7109375" style="73" customWidth="1"/>
    <col min="4" max="4" width="1.7109375" style="73" customWidth="1"/>
    <col min="5" max="5" width="11.7109375" style="73" customWidth="1"/>
    <col min="6" max="6" width="1.7109375" style="73" customWidth="1"/>
    <col min="7" max="7" width="11.7109375" style="73" customWidth="1"/>
    <col min="8" max="8" width="1.7109375" style="73" customWidth="1"/>
    <col min="9" max="9" width="11.7109375" style="73" customWidth="1"/>
    <col min="10" max="10" width="1.7109375" style="73" customWidth="1"/>
    <col min="11" max="11" width="11.7109375" style="73" customWidth="1"/>
    <col min="12" max="12" width="1.7109375" style="73" customWidth="1"/>
    <col min="13" max="13" width="12.7109375" style="73" customWidth="1"/>
    <col min="14" max="14" width="1.7109375" style="73" customWidth="1"/>
    <col min="15" max="15" width="12.7109375" style="73" customWidth="1"/>
    <col min="16" max="16" width="1.7109375" style="73" customWidth="1"/>
    <col min="17" max="17" width="12.7109375" style="73" customWidth="1"/>
    <col min="18" max="18" width="10.140625" style="28" bestFit="1" customWidth="1"/>
    <col min="19" max="19" width="13.28125" style="28" bestFit="1" customWidth="1"/>
    <col min="20" max="16384" width="9.140625" style="28" customWidth="1"/>
  </cols>
  <sheetData>
    <row r="1" spans="1:18" s="70" customFormat="1" ht="12.75">
      <c r="A1" s="63" t="s">
        <v>203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4"/>
    </row>
    <row r="2" spans="1:18" s="70" customFormat="1" ht="12.75">
      <c r="A2" s="63" t="s">
        <v>249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4"/>
    </row>
    <row r="3" spans="1:18" s="70" customFormat="1" ht="12.75">
      <c r="A3" s="6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4"/>
    </row>
    <row r="4" spans="1:18" ht="12.75">
      <c r="A4" s="57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36"/>
    </row>
    <row r="5" spans="1:18" ht="12.75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6"/>
    </row>
    <row r="6" spans="1:19" ht="12.75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6"/>
      <c r="S6" s="91" t="s">
        <v>105</v>
      </c>
    </row>
    <row r="7" spans="1:19" ht="12.75">
      <c r="A7" s="19"/>
      <c r="B7" s="19"/>
      <c r="C7" s="19" t="s">
        <v>148</v>
      </c>
      <c r="D7" s="19"/>
      <c r="E7" s="19" t="s">
        <v>167</v>
      </c>
      <c r="F7" s="19"/>
      <c r="G7" s="19" t="s">
        <v>105</v>
      </c>
      <c r="H7" s="19"/>
      <c r="I7" s="19" t="s">
        <v>0</v>
      </c>
      <c r="J7" s="19"/>
      <c r="K7" s="19" t="s">
        <v>1</v>
      </c>
      <c r="L7" s="19"/>
      <c r="M7" s="19" t="s">
        <v>2</v>
      </c>
      <c r="N7" s="19"/>
      <c r="O7" s="19" t="s">
        <v>3</v>
      </c>
      <c r="P7" s="19"/>
      <c r="Q7" s="19" t="s">
        <v>4</v>
      </c>
      <c r="R7" s="36"/>
      <c r="S7" s="91" t="s">
        <v>209</v>
      </c>
    </row>
    <row r="8" spans="1:255" ht="12.75">
      <c r="A8" s="53" t="s">
        <v>5</v>
      </c>
      <c r="B8" s="19"/>
      <c r="C8" s="53" t="s">
        <v>228</v>
      </c>
      <c r="D8" s="23"/>
      <c r="E8" s="53" t="s">
        <v>6</v>
      </c>
      <c r="F8" s="23"/>
      <c r="G8" s="53" t="s">
        <v>6</v>
      </c>
      <c r="H8" s="23"/>
      <c r="I8" s="53" t="s">
        <v>8</v>
      </c>
      <c r="J8" s="23"/>
      <c r="K8" s="53" t="s">
        <v>9</v>
      </c>
      <c r="L8" s="23"/>
      <c r="M8" s="53" t="s">
        <v>10</v>
      </c>
      <c r="N8" s="23"/>
      <c r="O8" s="53" t="s">
        <v>11</v>
      </c>
      <c r="P8" s="23"/>
      <c r="Q8" s="53" t="s">
        <v>12</v>
      </c>
      <c r="R8" s="43"/>
      <c r="S8" s="71" t="s">
        <v>210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ht="12.75">
      <c r="A9" s="19"/>
      <c r="B9" s="19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43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12.75">
      <c r="A10" s="19"/>
      <c r="B10" s="19"/>
      <c r="C10" s="19"/>
      <c r="D10" s="23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43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</row>
    <row r="11" spans="1:255" ht="12.75" hidden="1">
      <c r="A11" s="89" t="s">
        <v>237</v>
      </c>
      <c r="B11" s="19"/>
      <c r="C11" s="47">
        <v>0</v>
      </c>
      <c r="D11" s="47"/>
      <c r="E11" s="47">
        <v>0</v>
      </c>
      <c r="F11" s="47"/>
      <c r="G11" s="47">
        <v>0</v>
      </c>
      <c r="H11" s="47"/>
      <c r="I11" s="47">
        <v>0</v>
      </c>
      <c r="J11" s="47"/>
      <c r="K11" s="47">
        <v>0</v>
      </c>
      <c r="L11" s="47"/>
      <c r="M11" s="47">
        <v>0</v>
      </c>
      <c r="N11" s="46"/>
      <c r="O11" s="46">
        <f>Q11-C11-E11-G11-I11-K11-M11</f>
        <v>0</v>
      </c>
      <c r="P11" s="46"/>
      <c r="Q11" s="47">
        <v>0</v>
      </c>
      <c r="R11" s="43"/>
      <c r="S11" s="47">
        <v>0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</row>
    <row r="12" spans="1:255" ht="12.75">
      <c r="A12" s="32" t="s">
        <v>13</v>
      </c>
      <c r="B12" s="32"/>
      <c r="C12" s="47">
        <v>11942332</v>
      </c>
      <c r="D12" s="47"/>
      <c r="E12" s="47">
        <v>14657050</v>
      </c>
      <c r="F12" s="47"/>
      <c r="G12" s="47">
        <v>0</v>
      </c>
      <c r="H12" s="47"/>
      <c r="I12" s="47">
        <v>8367510</v>
      </c>
      <c r="J12" s="47"/>
      <c r="K12" s="47">
        <v>37816739</v>
      </c>
      <c r="L12" s="47"/>
      <c r="M12" s="47">
        <v>1142949</v>
      </c>
      <c r="N12" s="46"/>
      <c r="O12" s="46">
        <f>Q12-C12-E12-G12-I12-K12-M12</f>
        <v>7572579</v>
      </c>
      <c r="P12" s="46"/>
      <c r="Q12" s="47">
        <v>81499159</v>
      </c>
      <c r="R12" s="43"/>
      <c r="S12" s="47">
        <f>30920+7610313+1282017</f>
        <v>8923250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</row>
    <row r="13" spans="1:255" ht="12.75">
      <c r="A13" s="32" t="s">
        <v>14</v>
      </c>
      <c r="B13" s="32"/>
      <c r="C13" s="30">
        <f>6500430</f>
        <v>6500430</v>
      </c>
      <c r="D13" s="30"/>
      <c r="E13" s="30">
        <v>6294691</v>
      </c>
      <c r="F13" s="30"/>
      <c r="G13" s="30">
        <v>176801</v>
      </c>
      <c r="H13" s="30"/>
      <c r="I13" s="30">
        <v>3414754</v>
      </c>
      <c r="J13" s="30"/>
      <c r="K13" s="30">
        <v>19946097</v>
      </c>
      <c r="L13" s="30"/>
      <c r="M13" s="30">
        <v>0</v>
      </c>
      <c r="N13" s="16"/>
      <c r="O13" s="16">
        <f aca="true" t="shared" si="0" ref="O13:O29">Q13-C13-E13-G13-I13-K13-M13</f>
        <v>3207317</v>
      </c>
      <c r="P13" s="16"/>
      <c r="Q13" s="30">
        <v>39540090</v>
      </c>
      <c r="R13" s="43"/>
      <c r="S13" s="30">
        <f>22557+1391785</f>
        <v>1414342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</row>
    <row r="14" spans="1:255" ht="12.75">
      <c r="A14" s="32" t="s">
        <v>15</v>
      </c>
      <c r="B14" s="32"/>
      <c r="C14" s="30">
        <v>16045561</v>
      </c>
      <c r="D14" s="30"/>
      <c r="E14" s="30">
        <v>8020090</v>
      </c>
      <c r="F14" s="30"/>
      <c r="G14" s="30">
        <v>0</v>
      </c>
      <c r="H14" s="30"/>
      <c r="I14" s="30">
        <v>12524980</v>
      </c>
      <c r="J14" s="30"/>
      <c r="K14" s="30">
        <v>58907646</v>
      </c>
      <c r="L14" s="30"/>
      <c r="M14" s="30">
        <v>196986</v>
      </c>
      <c r="N14" s="16"/>
      <c r="O14" s="16">
        <f t="shared" si="0"/>
        <v>4817571</v>
      </c>
      <c r="P14" s="16"/>
      <c r="Q14" s="30">
        <v>100512834</v>
      </c>
      <c r="R14" s="43"/>
      <c r="S14" s="30">
        <f>322312+84250+5861+65000+4825286</f>
        <v>5302709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</row>
    <row r="15" spans="1:255" ht="12.75">
      <c r="A15" s="32" t="s">
        <v>16</v>
      </c>
      <c r="B15" s="32"/>
      <c r="C15" s="30">
        <v>11443813</v>
      </c>
      <c r="D15" s="30"/>
      <c r="E15" s="30">
        <v>6250297</v>
      </c>
      <c r="F15" s="30"/>
      <c r="G15" s="30">
        <v>0</v>
      </c>
      <c r="H15" s="30"/>
      <c r="I15" s="30">
        <v>4390648</v>
      </c>
      <c r="J15" s="30"/>
      <c r="K15" s="30">
        <v>29615981</v>
      </c>
      <c r="L15" s="30"/>
      <c r="M15" s="30">
        <v>0</v>
      </c>
      <c r="N15" s="16"/>
      <c r="O15" s="16">
        <f t="shared" si="0"/>
        <v>3312372</v>
      </c>
      <c r="P15" s="16"/>
      <c r="Q15" s="30">
        <v>55013111</v>
      </c>
      <c r="R15" s="43"/>
      <c r="S15" s="30">
        <f>133470+216735+1649438</f>
        <v>1999643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ht="12.75">
      <c r="A16" s="32" t="s">
        <v>17</v>
      </c>
      <c r="B16" s="32"/>
      <c r="C16" s="30">
        <v>6021927</v>
      </c>
      <c r="D16" s="30"/>
      <c r="E16" s="30">
        <v>7426758</v>
      </c>
      <c r="F16" s="30"/>
      <c r="G16" s="30">
        <v>0</v>
      </c>
      <c r="H16" s="30"/>
      <c r="I16" s="30">
        <v>3344859</v>
      </c>
      <c r="J16" s="30"/>
      <c r="K16" s="30">
        <v>12946834</v>
      </c>
      <c r="L16" s="30"/>
      <c r="M16" s="30">
        <v>797476</v>
      </c>
      <c r="N16" s="16"/>
      <c r="O16" s="16">
        <f t="shared" si="0"/>
        <v>2160836</v>
      </c>
      <c r="P16" s="16"/>
      <c r="Q16" s="30">
        <v>32698690</v>
      </c>
      <c r="R16" s="43"/>
      <c r="S16" s="30">
        <f>43763+952105+217399+992700</f>
        <v>2205967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ht="12.75">
      <c r="A17" s="32" t="s">
        <v>18</v>
      </c>
      <c r="B17" s="32"/>
      <c r="C17" s="30">
        <v>9035337</v>
      </c>
      <c r="D17" s="30"/>
      <c r="E17" s="30">
        <v>11585345</v>
      </c>
      <c r="F17" s="30"/>
      <c r="G17" s="30">
        <v>341089</v>
      </c>
      <c r="H17" s="30"/>
      <c r="I17" s="30">
        <v>6008604</v>
      </c>
      <c r="J17" s="30"/>
      <c r="K17" s="30">
        <v>30723938</v>
      </c>
      <c r="L17" s="30"/>
      <c r="M17" s="30">
        <v>0</v>
      </c>
      <c r="N17" s="16"/>
      <c r="O17" s="16">
        <f t="shared" si="0"/>
        <v>5276760</v>
      </c>
      <c r="P17" s="16"/>
      <c r="Q17" s="30">
        <v>62971073</v>
      </c>
      <c r="R17" s="43"/>
      <c r="S17" s="30">
        <f>45866+36647+2447884</f>
        <v>2530397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ht="12.75" hidden="1">
      <c r="A18" s="32" t="s">
        <v>240</v>
      </c>
      <c r="B18" s="3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6"/>
      <c r="O18" s="16">
        <f t="shared" si="0"/>
        <v>0</v>
      </c>
      <c r="P18" s="16"/>
      <c r="Q18" s="30"/>
      <c r="R18" s="43"/>
      <c r="S18" s="3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ht="12.75">
      <c r="A19" s="32" t="s">
        <v>238</v>
      </c>
      <c r="B19" s="32"/>
      <c r="C19" s="30">
        <v>77262187</v>
      </c>
      <c r="D19" s="30"/>
      <c r="E19" s="30">
        <v>41256564</v>
      </c>
      <c r="F19" s="30"/>
      <c r="G19" s="30">
        <v>0</v>
      </c>
      <c r="H19" s="30"/>
      <c r="I19" s="30">
        <v>46615133</v>
      </c>
      <c r="J19" s="30"/>
      <c r="K19" s="30">
        <v>126915096</v>
      </c>
      <c r="L19" s="30"/>
      <c r="M19" s="30">
        <v>3797896</v>
      </c>
      <c r="N19" s="16"/>
      <c r="O19" s="16">
        <f t="shared" si="0"/>
        <v>25186370</v>
      </c>
      <c r="P19" s="16"/>
      <c r="Q19" s="30">
        <v>321033246</v>
      </c>
      <c r="R19" s="43"/>
      <c r="S19" s="30">
        <f>2803627+17095000+960332+118942+1532939</f>
        <v>22510840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ht="12.75">
      <c r="A20" s="32" t="s">
        <v>20</v>
      </c>
      <c r="B20" s="32"/>
      <c r="C20" s="30">
        <v>4433302</v>
      </c>
      <c r="D20" s="30"/>
      <c r="E20" s="30">
        <v>1803206</v>
      </c>
      <c r="F20" s="30"/>
      <c r="G20" s="30">
        <v>0</v>
      </c>
      <c r="H20" s="30"/>
      <c r="I20" s="30">
        <v>2976876</v>
      </c>
      <c r="J20" s="30"/>
      <c r="K20" s="30">
        <v>12439265</v>
      </c>
      <c r="L20" s="30"/>
      <c r="M20" s="30">
        <v>8069</v>
      </c>
      <c r="N20" s="16"/>
      <c r="O20" s="16">
        <f t="shared" si="0"/>
        <v>2016983</v>
      </c>
      <c r="P20" s="16"/>
      <c r="Q20" s="30">
        <v>23677701</v>
      </c>
      <c r="R20" s="43"/>
      <c r="S20" s="30">
        <f>147157+332960</f>
        <v>480117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ht="12.75" hidden="1">
      <c r="A21" s="23" t="s">
        <v>173</v>
      </c>
      <c r="B21" s="23"/>
      <c r="C21" s="30">
        <v>0</v>
      </c>
      <c r="D21" s="30"/>
      <c r="E21" s="30">
        <v>0</v>
      </c>
      <c r="F21" s="30"/>
      <c r="G21" s="30">
        <v>0</v>
      </c>
      <c r="H21" s="30"/>
      <c r="I21" s="30">
        <v>0</v>
      </c>
      <c r="J21" s="30"/>
      <c r="K21" s="30">
        <v>0</v>
      </c>
      <c r="L21" s="30"/>
      <c r="M21" s="30">
        <v>0</v>
      </c>
      <c r="N21" s="16"/>
      <c r="O21" s="16">
        <f t="shared" si="0"/>
        <v>0</v>
      </c>
      <c r="P21" s="16"/>
      <c r="Q21" s="30">
        <v>0</v>
      </c>
      <c r="R21" s="43"/>
      <c r="S21" s="30">
        <v>0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ht="12.75">
      <c r="A22" s="32" t="s">
        <v>21</v>
      </c>
      <c r="B22" s="32"/>
      <c r="C22" s="30">
        <v>18960115</v>
      </c>
      <c r="D22" s="30"/>
      <c r="E22" s="30">
        <v>14485796</v>
      </c>
      <c r="F22" s="30"/>
      <c r="G22" s="30">
        <v>0</v>
      </c>
      <c r="H22" s="30"/>
      <c r="I22" s="30">
        <v>21261754</v>
      </c>
      <c r="J22" s="30"/>
      <c r="K22" s="30">
        <v>62472253</v>
      </c>
      <c r="L22" s="30"/>
      <c r="M22" s="30">
        <v>79530</v>
      </c>
      <c r="N22" s="16"/>
      <c r="O22" s="16">
        <f t="shared" si="0"/>
        <v>8107373</v>
      </c>
      <c r="P22" s="16"/>
      <c r="Q22" s="30">
        <v>125366821</v>
      </c>
      <c r="R22" s="43"/>
      <c r="S22" s="30">
        <f>10740000+43863+26683528+203652</f>
        <v>37671043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ht="12.75">
      <c r="A23" s="32" t="s">
        <v>181</v>
      </c>
      <c r="B23" s="32"/>
      <c r="C23" s="30">
        <v>44413491</v>
      </c>
      <c r="D23" s="30"/>
      <c r="E23" s="30">
        <v>0</v>
      </c>
      <c r="F23" s="30"/>
      <c r="G23" s="30">
        <v>0</v>
      </c>
      <c r="H23" s="30"/>
      <c r="I23" s="30">
        <v>18853570</v>
      </c>
      <c r="J23" s="30"/>
      <c r="K23" s="30">
        <v>44273656</v>
      </c>
      <c r="L23" s="30"/>
      <c r="M23" s="30">
        <v>1682349</v>
      </c>
      <c r="N23" s="16"/>
      <c r="O23" s="16">
        <f t="shared" si="0"/>
        <v>12127802</v>
      </c>
      <c r="P23" s="16"/>
      <c r="Q23" s="30">
        <v>121350868</v>
      </c>
      <c r="R23" s="43"/>
      <c r="S23" s="30">
        <f>7552037+1345482</f>
        <v>8897519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12.75">
      <c r="A24" s="32" t="s">
        <v>22</v>
      </c>
      <c r="B24" s="32"/>
      <c r="C24" s="30">
        <v>6189259</v>
      </c>
      <c r="D24" s="30"/>
      <c r="E24" s="30">
        <v>7886266</v>
      </c>
      <c r="F24" s="30"/>
      <c r="G24" s="30">
        <v>0</v>
      </c>
      <c r="H24" s="30"/>
      <c r="I24" s="30">
        <v>3258781</v>
      </c>
      <c r="J24" s="30"/>
      <c r="K24" s="30">
        <v>18272210</v>
      </c>
      <c r="L24" s="30"/>
      <c r="M24" s="30">
        <v>98130</v>
      </c>
      <c r="N24" s="16"/>
      <c r="O24" s="16">
        <f t="shared" si="0"/>
        <v>4224247</v>
      </c>
      <c r="P24" s="16"/>
      <c r="Q24" s="30">
        <v>39928893</v>
      </c>
      <c r="R24" s="43"/>
      <c r="S24" s="30">
        <f>12600+9208128+1463091+1943814</f>
        <v>12627633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2.75" hidden="1">
      <c r="A25" s="32" t="s">
        <v>23</v>
      </c>
      <c r="B25" s="32"/>
      <c r="C25" s="30">
        <v>0</v>
      </c>
      <c r="D25" s="30"/>
      <c r="E25" s="30">
        <v>0</v>
      </c>
      <c r="F25" s="30"/>
      <c r="G25" s="30">
        <v>0</v>
      </c>
      <c r="H25" s="30"/>
      <c r="I25" s="30">
        <v>0</v>
      </c>
      <c r="J25" s="30"/>
      <c r="K25" s="30">
        <v>0</v>
      </c>
      <c r="L25" s="30"/>
      <c r="M25" s="30">
        <v>0</v>
      </c>
      <c r="N25" s="16"/>
      <c r="O25" s="16">
        <f t="shared" si="0"/>
        <v>0</v>
      </c>
      <c r="P25" s="16"/>
      <c r="Q25" s="30">
        <v>0</v>
      </c>
      <c r="R25" s="43"/>
      <c r="S25" s="30">
        <v>0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2.75">
      <c r="A26" s="32" t="s">
        <v>24</v>
      </c>
      <c r="B26" s="32"/>
      <c r="C26" s="30">
        <v>6067174</v>
      </c>
      <c r="D26" s="30"/>
      <c r="E26" s="30">
        <v>4382732</v>
      </c>
      <c r="F26" s="30"/>
      <c r="G26" s="30">
        <v>0</v>
      </c>
      <c r="H26" s="30"/>
      <c r="I26" s="30">
        <v>2310461</v>
      </c>
      <c r="J26" s="30"/>
      <c r="K26" s="30">
        <v>21879068</v>
      </c>
      <c r="L26" s="30"/>
      <c r="M26" s="30">
        <v>0</v>
      </c>
      <c r="N26" s="16"/>
      <c r="O26" s="16">
        <f t="shared" si="0"/>
        <v>1930535</v>
      </c>
      <c r="P26" s="16"/>
      <c r="Q26" s="30">
        <v>36569970</v>
      </c>
      <c r="R26" s="43"/>
      <c r="S26" s="30">
        <f>94058+10277+287162</f>
        <v>391497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2.75">
      <c r="A27" s="32" t="s">
        <v>243</v>
      </c>
      <c r="B27" s="32"/>
      <c r="C27" s="30">
        <v>5010847</v>
      </c>
      <c r="D27" s="30"/>
      <c r="E27" s="30">
        <v>4964071</v>
      </c>
      <c r="F27" s="30"/>
      <c r="G27" s="30"/>
      <c r="H27" s="30"/>
      <c r="I27" s="30">
        <v>7508809</v>
      </c>
      <c r="J27" s="30"/>
      <c r="K27" s="30">
        <v>15598627</v>
      </c>
      <c r="L27" s="30"/>
      <c r="M27" s="30">
        <v>123828</v>
      </c>
      <c r="N27" s="16"/>
      <c r="O27" s="16">
        <f t="shared" si="0"/>
        <v>2447914</v>
      </c>
      <c r="P27" s="16"/>
      <c r="Q27" s="30">
        <v>35654096</v>
      </c>
      <c r="R27" s="43"/>
      <c r="S27" s="30">
        <f>6535000+86323+1987707</f>
        <v>8609030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2.75">
      <c r="A28" s="32" t="s">
        <v>25</v>
      </c>
      <c r="B28" s="32"/>
      <c r="C28" s="30">
        <f>361148*1000</f>
        <v>361148000</v>
      </c>
      <c r="D28" s="30"/>
      <c r="E28" s="30">
        <f>179932*1000</f>
        <v>179932000</v>
      </c>
      <c r="F28" s="30"/>
      <c r="G28" s="30">
        <f>28587*1000</f>
        <v>28587000</v>
      </c>
      <c r="H28" s="30"/>
      <c r="I28" s="30">
        <f>94170*1000</f>
        <v>94170000</v>
      </c>
      <c r="J28" s="30"/>
      <c r="K28" s="30">
        <f>(36942+720348)*1000</f>
        <v>757290000</v>
      </c>
      <c r="L28" s="30"/>
      <c r="M28" s="30">
        <v>0</v>
      </c>
      <c r="N28" s="16"/>
      <c r="O28" s="16">
        <f t="shared" si="0"/>
        <v>85972000</v>
      </c>
      <c r="P28" s="16"/>
      <c r="Q28" s="30">
        <f>1507099*1000</f>
        <v>1507099000</v>
      </c>
      <c r="R28" s="43"/>
      <c r="S28" s="30">
        <f>(51887+209114+1825)*1000</f>
        <v>262826000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2.75">
      <c r="A29" s="32" t="s">
        <v>26</v>
      </c>
      <c r="B29" s="32"/>
      <c r="C29" s="30">
        <v>12629288</v>
      </c>
      <c r="D29" s="30"/>
      <c r="E29" s="30">
        <v>0</v>
      </c>
      <c r="F29" s="30"/>
      <c r="G29" s="30">
        <v>0</v>
      </c>
      <c r="H29" s="30"/>
      <c r="I29" s="30">
        <v>4193424</v>
      </c>
      <c r="J29" s="30"/>
      <c r="K29" s="30">
        <v>17272513</v>
      </c>
      <c r="L29" s="30"/>
      <c r="M29" s="30">
        <v>9253</v>
      </c>
      <c r="N29" s="16"/>
      <c r="O29" s="16">
        <f t="shared" si="0"/>
        <v>3209625</v>
      </c>
      <c r="P29" s="16"/>
      <c r="Q29" s="30">
        <v>37314103</v>
      </c>
      <c r="R29" s="43"/>
      <c r="S29" s="30">
        <f>18678+463299+3495436</f>
        <v>3977413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2.75">
      <c r="A30" s="32" t="s">
        <v>27</v>
      </c>
      <c r="B30" s="32"/>
      <c r="C30" s="30">
        <v>5390820</v>
      </c>
      <c r="D30" s="30"/>
      <c r="E30" s="30">
        <v>4748229</v>
      </c>
      <c r="F30" s="30"/>
      <c r="G30" s="30">
        <v>0</v>
      </c>
      <c r="H30" s="30"/>
      <c r="I30" s="30">
        <v>2878331</v>
      </c>
      <c r="J30" s="30"/>
      <c r="K30" s="30">
        <v>14867330</v>
      </c>
      <c r="L30" s="30"/>
      <c r="M30" s="30">
        <v>527874</v>
      </c>
      <c r="N30" s="16"/>
      <c r="O30" s="16">
        <f aca="true" t="shared" si="1" ref="O30:O94">Q30-C30-E30-G30-I30-K30-M30</f>
        <v>4857339</v>
      </c>
      <c r="P30" s="16"/>
      <c r="Q30" s="30">
        <v>33269923</v>
      </c>
      <c r="R30" s="43"/>
      <c r="S30" s="30">
        <f>11065+14+1600000+153864+4313360</f>
        <v>6078303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ht="12.75">
      <c r="A31" s="32" t="s">
        <v>28</v>
      </c>
      <c r="B31" s="32"/>
      <c r="C31" s="30">
        <v>21315601</v>
      </c>
      <c r="D31" s="30"/>
      <c r="E31" s="30">
        <v>36304531</v>
      </c>
      <c r="F31" s="30"/>
      <c r="G31" s="30">
        <v>0</v>
      </c>
      <c r="H31" s="30"/>
      <c r="I31" s="30">
        <v>17656201</v>
      </c>
      <c r="J31" s="30"/>
      <c r="K31" s="30">
        <v>27576366</v>
      </c>
      <c r="L31" s="30"/>
      <c r="M31" s="30">
        <v>1048867</v>
      </c>
      <c r="N31" s="16"/>
      <c r="O31" s="16">
        <f t="shared" si="1"/>
        <v>13931944</v>
      </c>
      <c r="P31" s="16"/>
      <c r="Q31" s="30">
        <v>117833510</v>
      </c>
      <c r="R31" s="43"/>
      <c r="S31" s="30">
        <f>1483600+5320900+30267+98603+12282785</f>
        <v>19216155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2.75">
      <c r="A32" s="32" t="s">
        <v>29</v>
      </c>
      <c r="B32" s="32"/>
      <c r="C32" s="30">
        <v>11570772</v>
      </c>
      <c r="D32" s="30"/>
      <c r="E32" s="30">
        <v>14657463</v>
      </c>
      <c r="F32" s="30"/>
      <c r="G32" s="30">
        <v>0</v>
      </c>
      <c r="H32" s="30"/>
      <c r="I32" s="30">
        <v>4854442</v>
      </c>
      <c r="J32" s="30"/>
      <c r="K32" s="30">
        <v>24822028</v>
      </c>
      <c r="L32" s="30"/>
      <c r="M32" s="30">
        <v>1145758</v>
      </c>
      <c r="N32" s="16"/>
      <c r="O32" s="16">
        <f t="shared" si="1"/>
        <v>7227085</v>
      </c>
      <c r="P32" s="16"/>
      <c r="Q32" s="30">
        <v>64277548</v>
      </c>
      <c r="R32" s="43"/>
      <c r="S32" s="30">
        <f>12594055+344663+10000000+348623+5194101</f>
        <v>28481442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2.75">
      <c r="A33" s="32" t="s">
        <v>30</v>
      </c>
      <c r="B33" s="32"/>
      <c r="C33" s="30">
        <v>18943143</v>
      </c>
      <c r="D33" s="30"/>
      <c r="E33" s="30">
        <v>11444458</v>
      </c>
      <c r="F33" s="30"/>
      <c r="G33" s="30">
        <f>1691770+167674</f>
        <v>1859444</v>
      </c>
      <c r="H33" s="30"/>
      <c r="I33" s="30">
        <v>12794070</v>
      </c>
      <c r="J33" s="30"/>
      <c r="K33" s="30">
        <v>43743164</v>
      </c>
      <c r="L33" s="30"/>
      <c r="M33" s="30">
        <v>436663</v>
      </c>
      <c r="N33" s="16"/>
      <c r="O33" s="16">
        <f t="shared" si="1"/>
        <v>7397576</v>
      </c>
      <c r="P33" s="16"/>
      <c r="Q33" s="30">
        <v>96618518</v>
      </c>
      <c r="R33" s="43"/>
      <c r="S33" s="30">
        <f>157359+12528+1000000+5997333</f>
        <v>7167220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2.75" hidden="1">
      <c r="A34" s="32" t="s">
        <v>239</v>
      </c>
      <c r="B34" s="32"/>
      <c r="C34" s="30">
        <v>0</v>
      </c>
      <c r="D34" s="30"/>
      <c r="E34" s="30">
        <v>0</v>
      </c>
      <c r="F34" s="30"/>
      <c r="G34" s="30">
        <v>0</v>
      </c>
      <c r="H34" s="30"/>
      <c r="I34" s="30">
        <v>0</v>
      </c>
      <c r="J34" s="30"/>
      <c r="K34" s="30">
        <v>0</v>
      </c>
      <c r="L34" s="30"/>
      <c r="M34" s="30">
        <v>0</v>
      </c>
      <c r="N34" s="16"/>
      <c r="O34" s="16">
        <f>Q34-C34-E34-G34-I34-K34-M34</f>
        <v>0</v>
      </c>
      <c r="P34" s="16"/>
      <c r="Q34" s="30">
        <v>0</v>
      </c>
      <c r="R34" s="43"/>
      <c r="S34" s="30">
        <v>0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2.75">
      <c r="A35" s="32" t="s">
        <v>32</v>
      </c>
      <c r="B35" s="32"/>
      <c r="C35" s="30">
        <f>370977*1000</f>
        <v>370977000</v>
      </c>
      <c r="D35" s="30"/>
      <c r="E35" s="30">
        <f>177768*1000</f>
        <v>177768000</v>
      </c>
      <c r="F35" s="30"/>
      <c r="G35" s="30">
        <v>0</v>
      </c>
      <c r="H35" s="30"/>
      <c r="I35" s="30">
        <f>92659*1000</f>
        <v>92659000</v>
      </c>
      <c r="J35" s="30"/>
      <c r="K35" s="30">
        <f>494091*1000</f>
        <v>494091000</v>
      </c>
      <c r="L35" s="30"/>
      <c r="M35" s="30">
        <v>0</v>
      </c>
      <c r="N35" s="16"/>
      <c r="O35" s="16">
        <f t="shared" si="1"/>
        <v>81911000</v>
      </c>
      <c r="P35" s="16"/>
      <c r="Q35" s="30">
        <f>1217406*1000</f>
        <v>1217406000</v>
      </c>
      <c r="R35" s="43"/>
      <c r="S35" s="30">
        <f>(27930+153550+15000+557+5198+1481+114)*1000</f>
        <v>203830000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2.75">
      <c r="A36" s="32" t="s">
        <v>33</v>
      </c>
      <c r="B36" s="32"/>
      <c r="C36" s="30">
        <v>7783324</v>
      </c>
      <c r="D36" s="30"/>
      <c r="E36" s="30">
        <v>4578553</v>
      </c>
      <c r="F36" s="30"/>
      <c r="G36" s="30">
        <v>0</v>
      </c>
      <c r="H36" s="30"/>
      <c r="I36" s="30">
        <v>4662413</v>
      </c>
      <c r="J36" s="30"/>
      <c r="K36" s="30">
        <v>15202277</v>
      </c>
      <c r="L36" s="30"/>
      <c r="M36" s="30">
        <v>504828</v>
      </c>
      <c r="N36" s="16"/>
      <c r="O36" s="16">
        <f t="shared" si="1"/>
        <v>3053594</v>
      </c>
      <c r="P36" s="16"/>
      <c r="Q36" s="30">
        <v>35784989</v>
      </c>
      <c r="R36" s="43"/>
      <c r="S36" s="30">
        <f>39557+1235080+277239+13590</f>
        <v>1565466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2.75">
      <c r="A37" s="32" t="s">
        <v>34</v>
      </c>
      <c r="B37" s="32"/>
      <c r="C37" s="30">
        <v>2847092</v>
      </c>
      <c r="D37" s="30"/>
      <c r="E37" s="30">
        <v>4074918</v>
      </c>
      <c r="F37" s="30"/>
      <c r="G37" s="30">
        <v>0</v>
      </c>
      <c r="H37" s="30"/>
      <c r="I37" s="30">
        <v>2979425</v>
      </c>
      <c r="J37" s="30"/>
      <c r="K37" s="30">
        <v>17650229</v>
      </c>
      <c r="L37" s="30"/>
      <c r="M37" s="30">
        <v>0</v>
      </c>
      <c r="N37" s="16"/>
      <c r="O37" s="16">
        <f t="shared" si="1"/>
        <v>1243000</v>
      </c>
      <c r="P37" s="16"/>
      <c r="Q37" s="30">
        <v>28794664</v>
      </c>
      <c r="R37" s="43"/>
      <c r="S37" s="30">
        <f>553417+920538</f>
        <v>1473955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2.75">
      <c r="A38" s="32" t="s">
        <v>35</v>
      </c>
      <c r="B38" s="32"/>
      <c r="C38" s="30">
        <v>25223025</v>
      </c>
      <c r="D38" s="30"/>
      <c r="E38" s="30">
        <v>11523437</v>
      </c>
      <c r="F38" s="30"/>
      <c r="G38" s="30">
        <v>502981</v>
      </c>
      <c r="H38" s="30"/>
      <c r="I38" s="30">
        <v>8406538</v>
      </c>
      <c r="J38" s="30"/>
      <c r="K38" s="30">
        <v>33937322</v>
      </c>
      <c r="L38" s="30"/>
      <c r="M38" s="30">
        <v>413672</v>
      </c>
      <c r="N38" s="16"/>
      <c r="O38" s="16">
        <f t="shared" si="1"/>
        <v>6033329</v>
      </c>
      <c r="P38" s="16"/>
      <c r="Q38" s="30">
        <v>86040304</v>
      </c>
      <c r="R38" s="43"/>
      <c r="S38" s="30">
        <f>200000+7061763</f>
        <v>7261763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2.75">
      <c r="A39" s="32" t="s">
        <v>182</v>
      </c>
      <c r="B39" s="32"/>
      <c r="C39" s="30">
        <v>53405966</v>
      </c>
      <c r="D39" s="30"/>
      <c r="E39" s="30">
        <v>0</v>
      </c>
      <c r="F39" s="30"/>
      <c r="G39" s="30">
        <v>0</v>
      </c>
      <c r="H39" s="30"/>
      <c r="I39" s="30">
        <v>17732324</v>
      </c>
      <c r="J39" s="30"/>
      <c r="K39" s="30">
        <v>40597449</v>
      </c>
      <c r="L39" s="30"/>
      <c r="M39" s="30">
        <v>122157</v>
      </c>
      <c r="N39" s="16"/>
      <c r="O39" s="16">
        <f t="shared" si="1"/>
        <v>11173327</v>
      </c>
      <c r="P39" s="16"/>
      <c r="Q39" s="30">
        <v>123031223</v>
      </c>
      <c r="R39" s="43"/>
      <c r="S39" s="30">
        <f>4997409+191632+15610000+2015000+2665057</f>
        <v>25479098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2.75" hidden="1">
      <c r="A40" s="32" t="s">
        <v>244</v>
      </c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6"/>
      <c r="O40" s="16">
        <f t="shared" si="1"/>
        <v>0</v>
      </c>
      <c r="P40" s="16"/>
      <c r="Q40" s="30"/>
      <c r="R40" s="43"/>
      <c r="S40" s="3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2.75">
      <c r="A41" s="32" t="s">
        <v>37</v>
      </c>
      <c r="B41" s="32"/>
      <c r="C41" s="30">
        <v>256338000</v>
      </c>
      <c r="D41" s="30"/>
      <c r="E41" s="30">
        <v>67092000</v>
      </c>
      <c r="F41" s="30"/>
      <c r="G41" s="30">
        <v>47314000</v>
      </c>
      <c r="H41" s="30"/>
      <c r="I41" s="30">
        <v>140506000</v>
      </c>
      <c r="J41" s="30"/>
      <c r="K41" s="30">
        <v>421612000</v>
      </c>
      <c r="L41" s="30"/>
      <c r="M41" s="30">
        <v>0</v>
      </c>
      <c r="N41" s="16"/>
      <c r="O41" s="16">
        <f t="shared" si="1"/>
        <v>72397000</v>
      </c>
      <c r="P41" s="16"/>
      <c r="Q41" s="30">
        <v>1005259000</v>
      </c>
      <c r="R41" s="43"/>
      <c r="S41" s="30">
        <f>28311000+18130000+193000+1775000</f>
        <v>48409000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2.75">
      <c r="A42" s="32" t="s">
        <v>38</v>
      </c>
      <c r="B42" s="32"/>
      <c r="C42" s="30">
        <v>10028931</v>
      </c>
      <c r="D42" s="30"/>
      <c r="E42" s="30">
        <v>5547061</v>
      </c>
      <c r="F42" s="30"/>
      <c r="G42" s="30">
        <v>160075</v>
      </c>
      <c r="H42" s="30"/>
      <c r="I42" s="30">
        <v>6996511</v>
      </c>
      <c r="J42" s="30"/>
      <c r="K42" s="30">
        <v>29330138</v>
      </c>
      <c r="L42" s="30"/>
      <c r="M42" s="30">
        <v>519352</v>
      </c>
      <c r="N42" s="16"/>
      <c r="O42" s="16">
        <f t="shared" si="1"/>
        <v>4707560</v>
      </c>
      <c r="P42" s="16"/>
      <c r="Q42" s="30">
        <v>57289628</v>
      </c>
      <c r="R42" s="43"/>
      <c r="S42" s="30">
        <f>40047+2995000+810000+85332+22411+1598920</f>
        <v>5551710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ht="12.75" hidden="1">
      <c r="A43" s="32" t="s">
        <v>168</v>
      </c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16"/>
      <c r="O43" s="16">
        <f t="shared" si="1"/>
        <v>0</v>
      </c>
      <c r="P43" s="16"/>
      <c r="Q43" s="30"/>
      <c r="R43" s="43"/>
      <c r="S43" s="3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19" ht="12.75" hidden="1">
      <c r="A44" s="32" t="s">
        <v>39</v>
      </c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6"/>
      <c r="O44" s="16">
        <f t="shared" si="1"/>
        <v>0</v>
      </c>
      <c r="P44" s="16"/>
      <c r="Q44" s="30"/>
      <c r="R44" s="43"/>
      <c r="S44" s="30"/>
    </row>
    <row r="45" spans="1:19" ht="12.75">
      <c r="A45" s="32" t="s">
        <v>40</v>
      </c>
      <c r="B45" s="32"/>
      <c r="C45" s="30">
        <v>5554355</v>
      </c>
      <c r="D45" s="30"/>
      <c r="E45" s="30">
        <v>3224182</v>
      </c>
      <c r="F45" s="30"/>
      <c r="G45" s="30">
        <v>0</v>
      </c>
      <c r="H45" s="30"/>
      <c r="I45" s="30">
        <v>2258084</v>
      </c>
      <c r="J45" s="30"/>
      <c r="K45" s="30">
        <v>12686471</v>
      </c>
      <c r="L45" s="30"/>
      <c r="M45" s="30">
        <v>215035</v>
      </c>
      <c r="N45" s="16"/>
      <c r="O45" s="16">
        <f t="shared" si="1"/>
        <v>2301461</v>
      </c>
      <c r="P45" s="16"/>
      <c r="Q45" s="30">
        <v>26239588</v>
      </c>
      <c r="R45" s="43"/>
      <c r="S45" s="30">
        <f>2560000+4953+658844+625000</f>
        <v>3848797</v>
      </c>
    </row>
    <row r="46" spans="1:19" ht="12.75" hidden="1">
      <c r="A46" s="32" t="s">
        <v>41</v>
      </c>
      <c r="B46" s="32"/>
      <c r="C46" s="30">
        <v>0</v>
      </c>
      <c r="D46" s="30"/>
      <c r="E46" s="30">
        <v>0</v>
      </c>
      <c r="F46" s="30"/>
      <c r="G46" s="30">
        <v>0</v>
      </c>
      <c r="H46" s="30"/>
      <c r="I46" s="30">
        <v>0</v>
      </c>
      <c r="J46" s="30"/>
      <c r="K46" s="30">
        <v>0</v>
      </c>
      <c r="L46" s="30"/>
      <c r="M46" s="30">
        <v>0</v>
      </c>
      <c r="N46" s="16"/>
      <c r="O46" s="16">
        <f t="shared" si="1"/>
        <v>0</v>
      </c>
      <c r="P46" s="16"/>
      <c r="Q46" s="30">
        <v>0</v>
      </c>
      <c r="R46" s="43"/>
      <c r="S46" s="30">
        <v>0</v>
      </c>
    </row>
    <row r="47" spans="1:19" ht="12.75">
      <c r="A47" s="32" t="s">
        <v>42</v>
      </c>
      <c r="B47" s="32"/>
      <c r="C47" s="30">
        <v>7985337</v>
      </c>
      <c r="D47" s="30"/>
      <c r="E47" s="30">
        <v>0</v>
      </c>
      <c r="F47" s="30"/>
      <c r="G47" s="30">
        <v>0</v>
      </c>
      <c r="H47" s="30"/>
      <c r="I47" s="30">
        <v>2156347</v>
      </c>
      <c r="J47" s="30"/>
      <c r="K47" s="30">
        <v>11734010</v>
      </c>
      <c r="L47" s="30"/>
      <c r="M47" s="30">
        <v>9679</v>
      </c>
      <c r="N47" s="16"/>
      <c r="O47" s="16">
        <f t="shared" si="1"/>
        <v>1973296</v>
      </c>
      <c r="P47" s="16"/>
      <c r="Q47" s="30">
        <v>23858669</v>
      </c>
      <c r="R47" s="43"/>
      <c r="S47" s="30">
        <f>39490+1153599</f>
        <v>1193089</v>
      </c>
    </row>
    <row r="48" spans="1:19" ht="12.75">
      <c r="A48" s="32" t="s">
        <v>43</v>
      </c>
      <c r="B48" s="32"/>
      <c r="C48" s="30">
        <v>6044481</v>
      </c>
      <c r="D48" s="30"/>
      <c r="E48" s="30">
        <v>4421452</v>
      </c>
      <c r="F48" s="30"/>
      <c r="G48" s="30">
        <v>0</v>
      </c>
      <c r="H48" s="30"/>
      <c r="I48" s="30">
        <v>5074427</v>
      </c>
      <c r="J48" s="30"/>
      <c r="K48" s="30">
        <v>13182637</v>
      </c>
      <c r="L48" s="30"/>
      <c r="M48" s="30">
        <v>0</v>
      </c>
      <c r="N48" s="16"/>
      <c r="O48" s="16">
        <f t="shared" si="1"/>
        <v>2448472</v>
      </c>
      <c r="P48" s="16"/>
      <c r="Q48" s="30">
        <v>31171469</v>
      </c>
      <c r="R48" s="43"/>
      <c r="S48" s="30">
        <f>42000+1766065</f>
        <v>1808065</v>
      </c>
    </row>
    <row r="49" spans="1:19" ht="12.75">
      <c r="A49" s="32" t="s">
        <v>44</v>
      </c>
      <c r="B49" s="32"/>
      <c r="C49" s="30">
        <v>14899387</v>
      </c>
      <c r="D49" s="30"/>
      <c r="E49" s="30">
        <v>0</v>
      </c>
      <c r="F49" s="30"/>
      <c r="G49" s="30">
        <v>0</v>
      </c>
      <c r="H49" s="30"/>
      <c r="I49" s="30">
        <v>3065566</v>
      </c>
      <c r="J49" s="30"/>
      <c r="K49" s="30">
        <v>23770914</v>
      </c>
      <c r="L49" s="30"/>
      <c r="M49" s="30">
        <v>5165</v>
      </c>
      <c r="N49" s="16"/>
      <c r="O49" s="16">
        <f t="shared" si="1"/>
        <v>3156498</v>
      </c>
      <c r="P49" s="16"/>
      <c r="Q49" s="30">
        <v>44897530</v>
      </c>
      <c r="R49" s="43"/>
      <c r="S49" s="30">
        <f>2000000+1926611</f>
        <v>3926611</v>
      </c>
    </row>
    <row r="50" spans="1:19" ht="12.75" hidden="1">
      <c r="A50" s="32" t="s">
        <v>241</v>
      </c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6"/>
      <c r="O50" s="16">
        <f t="shared" si="1"/>
        <v>0</v>
      </c>
      <c r="P50" s="16"/>
      <c r="Q50" s="30"/>
      <c r="R50" s="43"/>
      <c r="S50" s="30"/>
    </row>
    <row r="51" spans="1:19" ht="12.75">
      <c r="A51" s="32" t="s">
        <v>46</v>
      </c>
      <c r="B51" s="32"/>
      <c r="C51" s="30">
        <v>10041265</v>
      </c>
      <c r="D51" s="30"/>
      <c r="E51" s="30">
        <v>10177121</v>
      </c>
      <c r="F51" s="30"/>
      <c r="G51" s="30">
        <v>0</v>
      </c>
      <c r="H51" s="30"/>
      <c r="I51" s="30">
        <v>5660900</v>
      </c>
      <c r="J51" s="30"/>
      <c r="K51" s="30">
        <v>41975221</v>
      </c>
      <c r="L51" s="30"/>
      <c r="M51" s="30">
        <v>0</v>
      </c>
      <c r="N51" s="16"/>
      <c r="O51" s="16">
        <f t="shared" si="1"/>
        <v>3422368</v>
      </c>
      <c r="P51" s="16"/>
      <c r="Q51" s="30">
        <v>71276875</v>
      </c>
      <c r="R51" s="43"/>
      <c r="S51" s="30">
        <f>4035485+1094842+318782+413606+32627+765846</f>
        <v>6661188</v>
      </c>
    </row>
    <row r="52" spans="1:19" ht="12.75">
      <c r="A52" s="32" t="s">
        <v>47</v>
      </c>
      <c r="B52" s="32"/>
      <c r="C52" s="30">
        <v>13383880</v>
      </c>
      <c r="D52" s="30"/>
      <c r="E52" s="30">
        <v>0</v>
      </c>
      <c r="F52" s="30"/>
      <c r="G52" s="30">
        <v>0</v>
      </c>
      <c r="H52" s="30"/>
      <c r="I52" s="30">
        <v>2909318</v>
      </c>
      <c r="J52" s="30"/>
      <c r="K52" s="30">
        <v>19842435</v>
      </c>
      <c r="L52" s="30"/>
      <c r="M52" s="30">
        <v>25227</v>
      </c>
      <c r="N52" s="16"/>
      <c r="O52" s="16">
        <f t="shared" si="1"/>
        <v>3609926</v>
      </c>
      <c r="P52" s="16"/>
      <c r="Q52" s="30">
        <v>39770786</v>
      </c>
      <c r="R52" s="43"/>
      <c r="S52" s="30">
        <f>165700+356656+1715767</f>
        <v>2238123</v>
      </c>
    </row>
    <row r="53" spans="1:19" ht="12.75">
      <c r="A53" s="32" t="s">
        <v>48</v>
      </c>
      <c r="B53" s="32"/>
      <c r="C53" s="30">
        <v>48483019</v>
      </c>
      <c r="D53" s="30"/>
      <c r="E53" s="30">
        <v>15841912</v>
      </c>
      <c r="F53" s="30"/>
      <c r="G53" s="30">
        <v>4367341</v>
      </c>
      <c r="H53" s="30"/>
      <c r="I53" s="30">
        <v>14577610</v>
      </c>
      <c r="J53" s="30"/>
      <c r="K53" s="30">
        <v>74373824</v>
      </c>
      <c r="L53" s="30"/>
      <c r="M53" s="30">
        <v>2981807</v>
      </c>
      <c r="N53" s="16"/>
      <c r="O53" s="16">
        <f t="shared" si="1"/>
        <v>20060306</v>
      </c>
      <c r="P53" s="16"/>
      <c r="Q53" s="30">
        <v>180685819</v>
      </c>
      <c r="R53" s="43"/>
      <c r="S53" s="30">
        <f>581060+1545000+4439+11268061</f>
        <v>13398560</v>
      </c>
    </row>
    <row r="54" spans="1:19" ht="12.75" hidden="1">
      <c r="A54" s="32" t="s">
        <v>170</v>
      </c>
      <c r="B54" s="3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6"/>
      <c r="O54" s="16">
        <f t="shared" si="1"/>
        <v>0</v>
      </c>
      <c r="P54" s="16"/>
      <c r="Q54" s="30"/>
      <c r="R54" s="43"/>
      <c r="S54" s="30"/>
    </row>
    <row r="55" spans="1:19" ht="12.75">
      <c r="A55" s="32" t="s">
        <v>49</v>
      </c>
      <c r="B55" s="32"/>
      <c r="C55" s="30">
        <v>4714675</v>
      </c>
      <c r="D55" s="30"/>
      <c r="E55" s="30">
        <v>0</v>
      </c>
      <c r="F55" s="30"/>
      <c r="G55" s="30">
        <v>0</v>
      </c>
      <c r="H55" s="30"/>
      <c r="I55" s="30">
        <v>9307123</v>
      </c>
      <c r="J55" s="30"/>
      <c r="K55" s="30">
        <v>46419234</v>
      </c>
      <c r="L55" s="30"/>
      <c r="M55" s="30">
        <v>152659</v>
      </c>
      <c r="N55" s="16"/>
      <c r="O55" s="16">
        <f t="shared" si="1"/>
        <v>50213304</v>
      </c>
      <c r="P55" s="16"/>
      <c r="Q55" s="30">
        <v>110806995</v>
      </c>
      <c r="R55" s="43"/>
      <c r="S55" s="30">
        <f>53509+111401+6248292</f>
        <v>6413202</v>
      </c>
    </row>
    <row r="56" spans="1:19" ht="12.75">
      <c r="A56" s="32" t="s">
        <v>50</v>
      </c>
      <c r="B56" s="32"/>
      <c r="C56" s="30">
        <v>16688665</v>
      </c>
      <c r="D56" s="30"/>
      <c r="E56" s="30">
        <v>0</v>
      </c>
      <c r="F56" s="30"/>
      <c r="G56" s="30">
        <v>0</v>
      </c>
      <c r="H56" s="30"/>
      <c r="I56" s="30">
        <v>4623677</v>
      </c>
      <c r="J56" s="30"/>
      <c r="K56" s="30">
        <v>16493686</v>
      </c>
      <c r="L56" s="30"/>
      <c r="M56" s="30">
        <v>52153</v>
      </c>
      <c r="N56" s="16"/>
      <c r="O56" s="16">
        <f t="shared" si="1"/>
        <v>3455464</v>
      </c>
      <c r="P56" s="16"/>
      <c r="Q56" s="30">
        <v>41313645</v>
      </c>
      <c r="R56" s="43"/>
      <c r="S56" s="30">
        <f>125000+5539075</f>
        <v>5664075</v>
      </c>
    </row>
    <row r="57" spans="1:19" ht="12.75">
      <c r="A57" s="32" t="s">
        <v>246</v>
      </c>
      <c r="B57" s="32"/>
      <c r="C57" s="30">
        <v>54871617</v>
      </c>
      <c r="D57" s="30"/>
      <c r="E57" s="30">
        <v>23760781</v>
      </c>
      <c r="F57" s="30"/>
      <c r="G57" s="30">
        <v>0</v>
      </c>
      <c r="H57" s="30"/>
      <c r="I57" s="30">
        <v>15487613</v>
      </c>
      <c r="J57" s="30"/>
      <c r="K57" s="30">
        <v>112025514</v>
      </c>
      <c r="L57" s="30"/>
      <c r="M57" s="30">
        <v>365890</v>
      </c>
      <c r="N57" s="16"/>
      <c r="O57" s="16">
        <f t="shared" si="1"/>
        <v>29836352</v>
      </c>
      <c r="P57" s="16"/>
      <c r="Q57" s="30">
        <v>236347767</v>
      </c>
      <c r="R57" s="43"/>
      <c r="S57" s="30">
        <f>9308903+36748</f>
        <v>9345651</v>
      </c>
    </row>
    <row r="58" spans="1:19" ht="12.75">
      <c r="A58" s="32" t="s">
        <v>183</v>
      </c>
      <c r="B58" s="32"/>
      <c r="C58" s="30">
        <v>100763923</v>
      </c>
      <c r="D58" s="30"/>
      <c r="E58" s="30">
        <v>71376914</v>
      </c>
      <c r="F58" s="30"/>
      <c r="G58" s="30">
        <v>0</v>
      </c>
      <c r="H58" s="30"/>
      <c r="I58" s="30">
        <v>32783951</v>
      </c>
      <c r="J58" s="30"/>
      <c r="K58" s="30">
        <v>229916788</v>
      </c>
      <c r="L58" s="30"/>
      <c r="M58" s="30">
        <v>7579543</v>
      </c>
      <c r="N58" s="16"/>
      <c r="O58" s="16">
        <f t="shared" si="1"/>
        <v>83265339</v>
      </c>
      <c r="P58" s="16"/>
      <c r="Q58" s="30">
        <v>525686458</v>
      </c>
      <c r="R58" s="43"/>
      <c r="S58" s="30">
        <f>470000+11740000+1088875+20790780</f>
        <v>34089655</v>
      </c>
    </row>
    <row r="59" spans="1:19" ht="12.75" hidden="1">
      <c r="A59" s="32" t="s">
        <v>52</v>
      </c>
      <c r="B59" s="32"/>
      <c r="C59" s="30">
        <v>0</v>
      </c>
      <c r="D59" s="30"/>
      <c r="E59" s="30">
        <v>0</v>
      </c>
      <c r="F59" s="30"/>
      <c r="G59" s="30">
        <v>0</v>
      </c>
      <c r="H59" s="30"/>
      <c r="I59" s="30">
        <v>0</v>
      </c>
      <c r="J59" s="30"/>
      <c r="K59" s="30">
        <v>0</v>
      </c>
      <c r="L59" s="30"/>
      <c r="M59" s="30">
        <v>0</v>
      </c>
      <c r="N59" s="16"/>
      <c r="O59" s="16">
        <f t="shared" si="1"/>
        <v>0</v>
      </c>
      <c r="P59" s="16"/>
      <c r="Q59" s="30">
        <v>0</v>
      </c>
      <c r="R59" s="43"/>
      <c r="S59" s="30">
        <v>0</v>
      </c>
    </row>
    <row r="60" spans="1:19" ht="12.75">
      <c r="A60" s="32" t="s">
        <v>53</v>
      </c>
      <c r="B60" s="32"/>
      <c r="C60" s="30">
        <v>32220488</v>
      </c>
      <c r="D60" s="30"/>
      <c r="E60" s="30">
        <v>28431266</v>
      </c>
      <c r="F60" s="30"/>
      <c r="G60" s="30">
        <v>0</v>
      </c>
      <c r="H60" s="30"/>
      <c r="I60" s="30">
        <v>3913963</v>
      </c>
      <c r="J60" s="30"/>
      <c r="K60" s="30">
        <v>106353788</v>
      </c>
      <c r="L60" s="30"/>
      <c r="M60" s="30">
        <v>291020</v>
      </c>
      <c r="N60" s="16"/>
      <c r="O60" s="16">
        <f t="shared" si="1"/>
        <v>29175523</v>
      </c>
      <c r="P60" s="16"/>
      <c r="Q60" s="30">
        <v>200386048</v>
      </c>
      <c r="R60" s="43"/>
      <c r="S60" s="30">
        <f>6400+1344418+800000+24072+11259255</f>
        <v>13434145</v>
      </c>
    </row>
    <row r="61" spans="1:19" ht="12.75">
      <c r="A61" s="32" t="s">
        <v>54</v>
      </c>
      <c r="B61" s="32"/>
      <c r="C61" s="30">
        <v>8621962</v>
      </c>
      <c r="D61" s="30"/>
      <c r="E61" s="30">
        <v>7276501</v>
      </c>
      <c r="F61" s="30"/>
      <c r="G61" s="30">
        <v>0</v>
      </c>
      <c r="H61" s="30"/>
      <c r="I61" s="30">
        <v>5147982</v>
      </c>
      <c r="J61" s="30"/>
      <c r="K61" s="30">
        <v>25546176</v>
      </c>
      <c r="L61" s="30"/>
      <c r="M61" s="30">
        <v>80935</v>
      </c>
      <c r="N61" s="16"/>
      <c r="O61" s="16">
        <f t="shared" si="1"/>
        <v>3903364</v>
      </c>
      <c r="P61" s="16"/>
      <c r="Q61" s="30">
        <v>50576920</v>
      </c>
      <c r="R61" s="43"/>
      <c r="S61" s="30">
        <f>2608+2485000+9844713+110287+49737+1097+1612280</f>
        <v>14105722</v>
      </c>
    </row>
    <row r="62" spans="1:19" ht="12.75">
      <c r="A62" s="32" t="s">
        <v>55</v>
      </c>
      <c r="B62" s="32"/>
      <c r="C62" s="30">
        <v>25215487</v>
      </c>
      <c r="D62" s="30"/>
      <c r="E62" s="30">
        <v>9952476</v>
      </c>
      <c r="F62" s="30"/>
      <c r="G62" s="30">
        <v>823231</v>
      </c>
      <c r="H62" s="30"/>
      <c r="I62" s="30">
        <v>14014913</v>
      </c>
      <c r="J62" s="30"/>
      <c r="K62" s="30">
        <v>45954931</v>
      </c>
      <c r="L62" s="30"/>
      <c r="M62" s="30">
        <v>877193</v>
      </c>
      <c r="N62" s="16"/>
      <c r="O62" s="16">
        <f t="shared" si="1"/>
        <v>13903984</v>
      </c>
      <c r="P62" s="16"/>
      <c r="Q62" s="30">
        <v>110742215</v>
      </c>
      <c r="R62" s="43"/>
      <c r="S62" s="30">
        <f>21733+2952738</f>
        <v>2974471</v>
      </c>
    </row>
    <row r="63" spans="1:19" ht="12.75" hidden="1">
      <c r="A63" s="32" t="s">
        <v>171</v>
      </c>
      <c r="B63" s="32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6"/>
      <c r="O63" s="16">
        <f t="shared" si="1"/>
        <v>0</v>
      </c>
      <c r="P63" s="16"/>
      <c r="Q63" s="30"/>
      <c r="R63" s="43"/>
      <c r="S63" s="30"/>
    </row>
    <row r="64" spans="1:19" ht="12.75" hidden="1">
      <c r="A64" s="32" t="s">
        <v>56</v>
      </c>
      <c r="B64" s="3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16"/>
      <c r="O64" s="16">
        <f t="shared" si="1"/>
        <v>0</v>
      </c>
      <c r="P64" s="16"/>
      <c r="Q64" s="30"/>
      <c r="R64" s="43"/>
      <c r="S64" s="30"/>
    </row>
    <row r="65" spans="1:19" ht="12.75">
      <c r="A65" s="32" t="s">
        <v>57</v>
      </c>
      <c r="B65" s="32"/>
      <c r="C65" s="30">
        <v>22861955</v>
      </c>
      <c r="D65" s="30"/>
      <c r="E65" s="30">
        <v>0</v>
      </c>
      <c r="F65" s="30"/>
      <c r="G65" s="30">
        <v>0</v>
      </c>
      <c r="H65" s="30"/>
      <c r="I65" s="30">
        <v>13116307</v>
      </c>
      <c r="J65" s="30"/>
      <c r="K65" s="30">
        <v>27826871</v>
      </c>
      <c r="L65" s="30"/>
      <c r="M65" s="30">
        <v>0</v>
      </c>
      <c r="N65" s="16"/>
      <c r="O65" s="16">
        <f t="shared" si="1"/>
        <v>7194279</v>
      </c>
      <c r="P65" s="16"/>
      <c r="Q65" s="30">
        <v>70999412</v>
      </c>
      <c r="R65" s="43"/>
      <c r="S65" s="30">
        <f>99508+1352867</f>
        <v>1452375</v>
      </c>
    </row>
    <row r="66" spans="1:19" ht="12.75">
      <c r="A66" s="32" t="s">
        <v>58</v>
      </c>
      <c r="B66" s="32"/>
      <c r="C66" s="30">
        <v>1535846</v>
      </c>
      <c r="D66" s="30"/>
      <c r="E66" s="30">
        <v>1358363</v>
      </c>
      <c r="F66" s="30"/>
      <c r="G66" s="30">
        <v>0</v>
      </c>
      <c r="H66" s="30"/>
      <c r="I66" s="30">
        <v>1490581</v>
      </c>
      <c r="J66" s="30"/>
      <c r="K66" s="30">
        <v>10512254</v>
      </c>
      <c r="L66" s="30"/>
      <c r="M66" s="30">
        <v>0</v>
      </c>
      <c r="N66" s="16"/>
      <c r="O66" s="16">
        <f t="shared" si="1"/>
        <v>899901</v>
      </c>
      <c r="P66" s="16"/>
      <c r="Q66" s="30">
        <v>15796945</v>
      </c>
      <c r="R66" s="43"/>
      <c r="S66" s="30">
        <v>157708</v>
      </c>
    </row>
    <row r="67" spans="1:19" ht="12.75">
      <c r="A67" s="32" t="s">
        <v>59</v>
      </c>
      <c r="B67" s="32"/>
      <c r="C67" s="30">
        <v>109216656</v>
      </c>
      <c r="D67" s="30"/>
      <c r="E67" s="30">
        <v>64377557</v>
      </c>
      <c r="F67" s="30"/>
      <c r="G67" s="30">
        <v>9224146</v>
      </c>
      <c r="H67" s="30"/>
      <c r="I67" s="30">
        <v>53813318</v>
      </c>
      <c r="J67" s="30"/>
      <c r="K67" s="30">
        <v>264431936</v>
      </c>
      <c r="L67" s="30"/>
      <c r="M67" s="30">
        <v>344304</v>
      </c>
      <c r="N67" s="16"/>
      <c r="O67" s="16">
        <f t="shared" si="1"/>
        <v>39813914</v>
      </c>
      <c r="P67" s="16"/>
      <c r="Q67" s="30">
        <v>541221831</v>
      </c>
      <c r="R67" s="43"/>
      <c r="S67" s="30">
        <f>107417+130293+66000+126645134</f>
        <v>126948844</v>
      </c>
    </row>
    <row r="68" spans="1:19" ht="12.75" hidden="1">
      <c r="A68" s="32" t="s">
        <v>60</v>
      </c>
      <c r="B68" s="3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6"/>
      <c r="O68" s="16">
        <f t="shared" si="1"/>
        <v>0</v>
      </c>
      <c r="P68" s="16"/>
      <c r="Q68" s="30"/>
      <c r="R68" s="43"/>
      <c r="S68" s="30"/>
    </row>
    <row r="69" spans="1:19" ht="12.75">
      <c r="A69" s="32" t="s">
        <v>97</v>
      </c>
      <c r="B69" s="32"/>
      <c r="C69" s="30">
        <v>4448990</v>
      </c>
      <c r="D69" s="30"/>
      <c r="E69" s="30">
        <v>2888689</v>
      </c>
      <c r="F69" s="30"/>
      <c r="G69" s="30">
        <v>0</v>
      </c>
      <c r="H69" s="30"/>
      <c r="I69" s="30">
        <v>2355486</v>
      </c>
      <c r="J69" s="30"/>
      <c r="K69" s="30">
        <v>14953058</v>
      </c>
      <c r="L69" s="30"/>
      <c r="M69" s="30">
        <v>160886</v>
      </c>
      <c r="N69" s="16"/>
      <c r="O69" s="16">
        <f t="shared" si="1"/>
        <v>2802794</v>
      </c>
      <c r="P69" s="16"/>
      <c r="Q69" s="30">
        <v>27609903</v>
      </c>
      <c r="R69" s="43"/>
      <c r="S69" s="30">
        <f>17822+3057000+35196+253000+113180+153852</f>
        <v>3630050</v>
      </c>
    </row>
    <row r="70" spans="1:19" ht="12.75">
      <c r="A70" s="32" t="s">
        <v>61</v>
      </c>
      <c r="B70" s="32"/>
      <c r="C70" s="30">
        <v>14000618</v>
      </c>
      <c r="D70" s="30"/>
      <c r="E70" s="30">
        <v>14638691</v>
      </c>
      <c r="F70" s="30"/>
      <c r="G70" s="30">
        <v>459393</v>
      </c>
      <c r="H70" s="30"/>
      <c r="I70" s="30">
        <v>10060503</v>
      </c>
      <c r="J70" s="30"/>
      <c r="K70" s="30">
        <v>36597362</v>
      </c>
      <c r="L70" s="30"/>
      <c r="M70" s="30">
        <v>36625</v>
      </c>
      <c r="N70" s="16"/>
      <c r="O70" s="16">
        <f t="shared" si="1"/>
        <v>5953587</v>
      </c>
      <c r="P70" s="16"/>
      <c r="Q70" s="30">
        <v>81746779</v>
      </c>
      <c r="R70" s="43"/>
      <c r="S70" s="30">
        <f>99039+196048+4800417</f>
        <v>5095504</v>
      </c>
    </row>
    <row r="71" spans="1:19" ht="12.75">
      <c r="A71" s="32" t="s">
        <v>62</v>
      </c>
      <c r="B71" s="32"/>
      <c r="C71" s="30">
        <v>1863866</v>
      </c>
      <c r="D71" s="30"/>
      <c r="E71" s="30">
        <v>1056970</v>
      </c>
      <c r="F71" s="30"/>
      <c r="G71" s="30">
        <v>0</v>
      </c>
      <c r="H71" s="30"/>
      <c r="I71" s="30">
        <v>1439037</v>
      </c>
      <c r="J71" s="30"/>
      <c r="K71" s="30">
        <v>7499130</v>
      </c>
      <c r="L71" s="30"/>
      <c r="M71" s="30">
        <v>0</v>
      </c>
      <c r="N71" s="16"/>
      <c r="O71" s="16">
        <f t="shared" si="1"/>
        <v>776706</v>
      </c>
      <c r="P71" s="16"/>
      <c r="Q71" s="30">
        <v>12635709</v>
      </c>
      <c r="R71" s="43"/>
      <c r="S71" s="30">
        <f>30627+9055+14860+41897</f>
        <v>96439</v>
      </c>
    </row>
    <row r="72" spans="1:19" ht="12.75">
      <c r="A72" s="32" t="s">
        <v>63</v>
      </c>
      <c r="B72" s="32"/>
      <c r="C72" s="30">
        <v>8434744</v>
      </c>
      <c r="D72" s="30"/>
      <c r="E72" s="30">
        <v>4831775</v>
      </c>
      <c r="F72" s="30"/>
      <c r="G72" s="30">
        <v>490965</v>
      </c>
      <c r="H72" s="30"/>
      <c r="I72" s="30">
        <v>6402130</v>
      </c>
      <c r="J72" s="30"/>
      <c r="K72" s="30">
        <v>15725404</v>
      </c>
      <c r="L72" s="30"/>
      <c r="M72" s="30">
        <v>947837</v>
      </c>
      <c r="N72" s="16"/>
      <c r="O72" s="16">
        <f t="shared" si="1"/>
        <v>5943011</v>
      </c>
      <c r="P72" s="16"/>
      <c r="Q72" s="30">
        <v>42775866</v>
      </c>
      <c r="R72" s="43"/>
      <c r="S72" s="30">
        <f>540123+3800831</f>
        <v>4340954</v>
      </c>
    </row>
    <row r="73" spans="1:19" ht="12.75" hidden="1">
      <c r="A73" s="32" t="s">
        <v>132</v>
      </c>
      <c r="B73" s="3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6"/>
      <c r="O73" s="16">
        <f t="shared" si="1"/>
        <v>0</v>
      </c>
      <c r="P73" s="16"/>
      <c r="Q73" s="30"/>
      <c r="R73" s="43"/>
      <c r="S73" s="30"/>
    </row>
    <row r="74" spans="1:19" ht="12.75" hidden="1">
      <c r="A74" s="32" t="s">
        <v>64</v>
      </c>
      <c r="B74" s="3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6"/>
      <c r="O74" s="16">
        <f t="shared" si="1"/>
        <v>0</v>
      </c>
      <c r="P74" s="16"/>
      <c r="Q74" s="30"/>
      <c r="R74" s="43"/>
      <c r="S74" s="30"/>
    </row>
    <row r="76" spans="1:19" ht="12.75">
      <c r="A76" s="32" t="s">
        <v>229</v>
      </c>
      <c r="B76" s="32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16"/>
      <c r="O76" s="16"/>
      <c r="P76" s="16"/>
      <c r="Q76" s="30" t="s">
        <v>253</v>
      </c>
      <c r="R76" s="43"/>
      <c r="S76" s="30"/>
    </row>
    <row r="77" spans="1:19" ht="12.75">
      <c r="A77" s="32" t="s">
        <v>65</v>
      </c>
      <c r="B77" s="32"/>
      <c r="C77" s="47">
        <v>6752979</v>
      </c>
      <c r="D77" s="47"/>
      <c r="E77" s="47">
        <v>5895379</v>
      </c>
      <c r="F77" s="47"/>
      <c r="G77" s="47">
        <v>0</v>
      </c>
      <c r="H77" s="47"/>
      <c r="I77" s="47">
        <v>3489607</v>
      </c>
      <c r="J77" s="47"/>
      <c r="K77" s="47">
        <v>18431405</v>
      </c>
      <c r="L77" s="47"/>
      <c r="M77" s="47">
        <v>18113</v>
      </c>
      <c r="N77" s="46"/>
      <c r="O77" s="46">
        <f aca="true" t="shared" si="2" ref="O77:O91">Q77-C77-E77-G77-I77-K77-M77</f>
        <v>3317092</v>
      </c>
      <c r="P77" s="46"/>
      <c r="Q77" s="47">
        <v>37904575</v>
      </c>
      <c r="R77" s="43"/>
      <c r="S77" s="30">
        <f>166800+35793+505193</f>
        <v>707786</v>
      </c>
    </row>
    <row r="78" spans="1:19" ht="12.75">
      <c r="A78" s="32" t="s">
        <v>66</v>
      </c>
      <c r="B78" s="32"/>
      <c r="C78" s="30">
        <v>7581366</v>
      </c>
      <c r="D78" s="30"/>
      <c r="E78" s="30">
        <v>0</v>
      </c>
      <c r="F78" s="30"/>
      <c r="G78" s="30">
        <v>0</v>
      </c>
      <c r="H78" s="30"/>
      <c r="I78" s="30">
        <v>2340417</v>
      </c>
      <c r="J78" s="30"/>
      <c r="K78" s="30">
        <v>13377599</v>
      </c>
      <c r="L78" s="30"/>
      <c r="M78" s="30">
        <v>0</v>
      </c>
      <c r="N78" s="16"/>
      <c r="O78" s="16">
        <f t="shared" si="2"/>
        <v>3530279</v>
      </c>
      <c r="P78" s="16"/>
      <c r="Q78" s="30">
        <v>26829661</v>
      </c>
      <c r="R78" s="43"/>
      <c r="S78" s="30">
        <f>179000+2887000+471414+499948</f>
        <v>4037362</v>
      </c>
    </row>
    <row r="79" spans="1:19" ht="12.75">
      <c r="A79" s="32" t="s">
        <v>67</v>
      </c>
      <c r="B79" s="32"/>
      <c r="C79" s="30">
        <v>26246567</v>
      </c>
      <c r="D79" s="30"/>
      <c r="E79" s="30">
        <v>14884819</v>
      </c>
      <c r="F79" s="30"/>
      <c r="G79" s="30">
        <v>0</v>
      </c>
      <c r="H79" s="30"/>
      <c r="I79" s="30">
        <v>15834055</v>
      </c>
      <c r="J79" s="30"/>
      <c r="K79" s="30">
        <v>57923540</v>
      </c>
      <c r="L79" s="30"/>
      <c r="M79" s="30">
        <v>166744</v>
      </c>
      <c r="N79" s="16"/>
      <c r="O79" s="16">
        <f t="shared" si="2"/>
        <v>10594165</v>
      </c>
      <c r="P79" s="16"/>
      <c r="Q79" s="30">
        <v>125649890</v>
      </c>
      <c r="R79" s="43"/>
      <c r="S79" s="30">
        <f>56760+2895088</f>
        <v>2951848</v>
      </c>
    </row>
    <row r="80" spans="1:19" ht="12.75">
      <c r="A80" s="32" t="s">
        <v>68</v>
      </c>
      <c r="B80" s="32"/>
      <c r="C80" s="30">
        <v>3864633</v>
      </c>
      <c r="D80" s="30"/>
      <c r="E80" s="30">
        <v>4383637</v>
      </c>
      <c r="F80" s="30"/>
      <c r="G80" s="30">
        <v>0</v>
      </c>
      <c r="H80" s="30"/>
      <c r="I80" s="30">
        <v>3307403</v>
      </c>
      <c r="J80" s="30"/>
      <c r="K80" s="30">
        <v>15137407</v>
      </c>
      <c r="L80" s="30"/>
      <c r="M80" s="30">
        <v>167714</v>
      </c>
      <c r="N80" s="16"/>
      <c r="O80" s="16">
        <f t="shared" si="2"/>
        <v>2011135</v>
      </c>
      <c r="P80" s="16"/>
      <c r="Q80" s="30">
        <v>28871929</v>
      </c>
      <c r="R80" s="43"/>
      <c r="S80" s="30">
        <f>174236+542642+1398375</f>
        <v>2115253</v>
      </c>
    </row>
    <row r="81" spans="1:19" ht="12.75" hidden="1">
      <c r="A81" s="32" t="s">
        <v>176</v>
      </c>
      <c r="B81" s="32"/>
      <c r="C81" s="30">
        <v>0</v>
      </c>
      <c r="D81" s="30"/>
      <c r="E81" s="30">
        <v>0</v>
      </c>
      <c r="F81" s="30"/>
      <c r="G81" s="30">
        <v>0</v>
      </c>
      <c r="H81" s="30"/>
      <c r="I81" s="30">
        <v>0</v>
      </c>
      <c r="J81" s="30"/>
      <c r="K81" s="30">
        <v>0</v>
      </c>
      <c r="L81" s="30"/>
      <c r="M81" s="30">
        <v>0</v>
      </c>
      <c r="N81" s="16"/>
      <c r="O81" s="16">
        <f t="shared" si="2"/>
        <v>0</v>
      </c>
      <c r="P81" s="16"/>
      <c r="Q81" s="30">
        <v>0</v>
      </c>
      <c r="R81" s="43"/>
      <c r="S81" s="30">
        <v>0</v>
      </c>
    </row>
    <row r="82" spans="1:19" ht="12.75">
      <c r="A82" s="32" t="s">
        <v>178</v>
      </c>
      <c r="B82" s="32"/>
      <c r="C82" s="30">
        <v>18925263</v>
      </c>
      <c r="D82" s="30"/>
      <c r="E82" s="30">
        <v>14584095</v>
      </c>
      <c r="F82" s="30"/>
      <c r="G82" s="30">
        <v>0</v>
      </c>
      <c r="H82" s="30"/>
      <c r="I82" s="30">
        <v>9411065</v>
      </c>
      <c r="J82" s="30"/>
      <c r="K82" s="30">
        <v>56515973</v>
      </c>
      <c r="L82" s="30"/>
      <c r="M82" s="30">
        <v>1119898</v>
      </c>
      <c r="N82" s="16"/>
      <c r="O82" s="16">
        <f t="shared" si="2"/>
        <v>7311933</v>
      </c>
      <c r="P82" s="16"/>
      <c r="Q82" s="30">
        <v>107868227</v>
      </c>
      <c r="R82" s="43"/>
      <c r="S82" s="30">
        <f>889126+8610000+134994+12235000+210490+5964266</f>
        <v>28043876</v>
      </c>
    </row>
    <row r="83" spans="1:19" ht="12.75">
      <c r="A83" s="32" t="s">
        <v>69</v>
      </c>
      <c r="B83" s="32"/>
      <c r="C83" s="30">
        <v>7930103</v>
      </c>
      <c r="D83" s="30"/>
      <c r="E83" s="30">
        <v>11221082</v>
      </c>
      <c r="F83" s="30"/>
      <c r="G83" s="30">
        <v>0</v>
      </c>
      <c r="H83" s="30"/>
      <c r="I83" s="30">
        <v>6422796</v>
      </c>
      <c r="J83" s="30"/>
      <c r="K83" s="30">
        <v>28400233</v>
      </c>
      <c r="L83" s="30"/>
      <c r="M83" s="30">
        <v>9447</v>
      </c>
      <c r="N83" s="16"/>
      <c r="O83" s="16">
        <f t="shared" si="2"/>
        <v>3029919</v>
      </c>
      <c r="P83" s="16"/>
      <c r="Q83" s="30">
        <v>57013580</v>
      </c>
      <c r="R83" s="43"/>
      <c r="S83" s="30">
        <f>7741+2662000+8432584</f>
        <v>11102325</v>
      </c>
    </row>
    <row r="84" spans="1:19" ht="12.75">
      <c r="A84" s="32" t="s">
        <v>98</v>
      </c>
      <c r="B84" s="32"/>
      <c r="C84" s="30">
        <v>8420247</v>
      </c>
      <c r="D84" s="30"/>
      <c r="E84" s="30">
        <v>7615121</v>
      </c>
      <c r="F84" s="30"/>
      <c r="G84" s="30">
        <v>0</v>
      </c>
      <c r="H84" s="30"/>
      <c r="I84" s="30">
        <v>4959809</v>
      </c>
      <c r="J84" s="30"/>
      <c r="K84" s="30">
        <v>24509304</v>
      </c>
      <c r="L84" s="30"/>
      <c r="M84" s="30">
        <v>204456</v>
      </c>
      <c r="N84" s="16"/>
      <c r="O84" s="16">
        <f t="shared" si="2"/>
        <v>5121520</v>
      </c>
      <c r="P84" s="16"/>
      <c r="Q84" s="30">
        <v>50830457</v>
      </c>
      <c r="R84" s="43"/>
      <c r="S84" s="30">
        <f>230000+60020+2441699+46411</f>
        <v>2778130</v>
      </c>
    </row>
    <row r="85" spans="1:19" ht="12.75">
      <c r="A85" s="32" t="s">
        <v>70</v>
      </c>
      <c r="B85" s="32"/>
      <c r="C85" s="30">
        <v>6270938</v>
      </c>
      <c r="D85" s="30"/>
      <c r="E85" s="30">
        <v>9177699</v>
      </c>
      <c r="F85" s="30"/>
      <c r="G85" s="30">
        <v>347232</v>
      </c>
      <c r="H85" s="30"/>
      <c r="I85" s="30">
        <v>6326036</v>
      </c>
      <c r="J85" s="30"/>
      <c r="K85" s="30">
        <v>31595477</v>
      </c>
      <c r="L85" s="30"/>
      <c r="M85" s="30">
        <v>0</v>
      </c>
      <c r="N85" s="16"/>
      <c r="O85" s="16">
        <f t="shared" si="2"/>
        <v>4641196</v>
      </c>
      <c r="P85" s="16"/>
      <c r="Q85" s="30">
        <v>58358578</v>
      </c>
      <c r="R85" s="43"/>
      <c r="S85" s="30">
        <f>1282321+336684+3017397</f>
        <v>4636402</v>
      </c>
    </row>
    <row r="86" spans="1:19" ht="12.75">
      <c r="A86" s="32" t="s">
        <v>71</v>
      </c>
      <c r="B86" s="32"/>
      <c r="C86" s="30">
        <v>6863785</v>
      </c>
      <c r="D86" s="30"/>
      <c r="E86" s="30">
        <v>6830418</v>
      </c>
      <c r="F86" s="30"/>
      <c r="G86" s="30">
        <v>0</v>
      </c>
      <c r="H86" s="30"/>
      <c r="I86" s="30">
        <v>3108575</v>
      </c>
      <c r="J86" s="30"/>
      <c r="K86" s="30">
        <v>23521256</v>
      </c>
      <c r="L86" s="30"/>
      <c r="M86" s="30">
        <v>194865</v>
      </c>
      <c r="N86" s="16"/>
      <c r="O86" s="16">
        <f t="shared" si="2"/>
        <v>3873897</v>
      </c>
      <c r="P86" s="16"/>
      <c r="Q86" s="30">
        <v>44392796</v>
      </c>
      <c r="R86" s="43"/>
      <c r="S86" s="30">
        <f>1960438+661000+132885+855000</f>
        <v>3609323</v>
      </c>
    </row>
    <row r="87" spans="1:19" ht="12.75">
      <c r="A87" s="32" t="s">
        <v>72</v>
      </c>
      <c r="B87" s="32"/>
      <c r="C87" s="30">
        <v>7190862</v>
      </c>
      <c r="D87" s="30"/>
      <c r="E87" s="30">
        <v>8192497</v>
      </c>
      <c r="F87" s="30"/>
      <c r="G87" s="30">
        <v>0</v>
      </c>
      <c r="H87" s="30"/>
      <c r="I87" s="30">
        <v>4621822</v>
      </c>
      <c r="J87" s="30"/>
      <c r="K87" s="30">
        <v>18263614</v>
      </c>
      <c r="L87" s="30"/>
      <c r="M87" s="30">
        <v>306030</v>
      </c>
      <c r="N87" s="16"/>
      <c r="O87" s="16">
        <f t="shared" si="2"/>
        <v>3100583</v>
      </c>
      <c r="P87" s="16"/>
      <c r="Q87" s="30">
        <v>41675408</v>
      </c>
      <c r="R87" s="43"/>
      <c r="S87" s="30">
        <f>51150+677163</f>
        <v>728313</v>
      </c>
    </row>
    <row r="88" spans="1:19" ht="12.75">
      <c r="A88" s="32" t="s">
        <v>73</v>
      </c>
      <c r="B88" s="32"/>
      <c r="C88" s="30">
        <v>51463575</v>
      </c>
      <c r="D88" s="30"/>
      <c r="E88" s="30">
        <v>13006191</v>
      </c>
      <c r="F88" s="30"/>
      <c r="G88" s="30">
        <v>0</v>
      </c>
      <c r="H88" s="30"/>
      <c r="I88" s="30">
        <v>29315443</v>
      </c>
      <c r="J88" s="30"/>
      <c r="K88" s="30">
        <v>148998344</v>
      </c>
      <c r="L88" s="30"/>
      <c r="M88" s="30">
        <v>660725</v>
      </c>
      <c r="N88" s="16"/>
      <c r="O88" s="16">
        <f t="shared" si="2"/>
        <v>15468824</v>
      </c>
      <c r="P88" s="16"/>
      <c r="Q88" s="30">
        <v>258913102</v>
      </c>
      <c r="R88" s="43"/>
      <c r="S88" s="30">
        <f>1930000+21828+60163</f>
        <v>2011991</v>
      </c>
    </row>
    <row r="89" spans="1:19" ht="12.75">
      <c r="A89" s="32" t="s">
        <v>74</v>
      </c>
      <c r="B89" s="32"/>
      <c r="C89" s="30">
        <v>124828884</v>
      </c>
      <c r="D89" s="30"/>
      <c r="E89" s="30">
        <v>36696576</v>
      </c>
      <c r="F89" s="30"/>
      <c r="G89" s="30">
        <v>11826390</v>
      </c>
      <c r="H89" s="30"/>
      <c r="I89" s="30">
        <v>44397589</v>
      </c>
      <c r="J89" s="30"/>
      <c r="K89" s="30">
        <v>210292579</v>
      </c>
      <c r="L89" s="30"/>
      <c r="M89" s="30">
        <v>83847</v>
      </c>
      <c r="N89" s="16"/>
      <c r="O89" s="16">
        <f t="shared" si="2"/>
        <v>19394891</v>
      </c>
      <c r="P89" s="16"/>
      <c r="Q89" s="30">
        <v>447520756</v>
      </c>
      <c r="R89" s="43"/>
      <c r="S89" s="30">
        <f>44958+2156834+782021+8976293</f>
        <v>11960106</v>
      </c>
    </row>
    <row r="90" spans="1:19" ht="12.75">
      <c r="A90" s="32" t="s">
        <v>75</v>
      </c>
      <c r="B90" s="32"/>
      <c r="C90" s="30">
        <v>34412237</v>
      </c>
      <c r="D90" s="30"/>
      <c r="E90" s="30">
        <v>24958612</v>
      </c>
      <c r="F90" s="30"/>
      <c r="G90" s="30">
        <v>0</v>
      </c>
      <c r="H90" s="30"/>
      <c r="I90" s="30">
        <v>6920426</v>
      </c>
      <c r="J90" s="30"/>
      <c r="K90" s="30">
        <v>95810490</v>
      </c>
      <c r="L90" s="30"/>
      <c r="M90" s="30">
        <v>592395</v>
      </c>
      <c r="N90" s="16"/>
      <c r="O90" s="16">
        <f t="shared" si="2"/>
        <v>13498319</v>
      </c>
      <c r="P90" s="16"/>
      <c r="Q90" s="30">
        <v>176192479</v>
      </c>
      <c r="R90" s="43"/>
      <c r="S90" s="30">
        <f>7606+546946+100636+2565000+56044+9820000+8874649</f>
        <v>21970881</v>
      </c>
    </row>
    <row r="91" spans="1:19" ht="12.75">
      <c r="A91" s="32" t="s">
        <v>76</v>
      </c>
      <c r="B91" s="32"/>
      <c r="C91" s="30">
        <v>9983069</v>
      </c>
      <c r="D91" s="30"/>
      <c r="E91" s="30">
        <v>9372726</v>
      </c>
      <c r="F91" s="30"/>
      <c r="G91" s="30">
        <v>0</v>
      </c>
      <c r="H91" s="30"/>
      <c r="I91" s="30">
        <v>5351859</v>
      </c>
      <c r="J91" s="30"/>
      <c r="K91" s="30">
        <v>27694493</v>
      </c>
      <c r="L91" s="30"/>
      <c r="M91" s="30">
        <v>0</v>
      </c>
      <c r="N91" s="16"/>
      <c r="O91" s="16">
        <f t="shared" si="2"/>
        <v>5366092</v>
      </c>
      <c r="P91" s="16"/>
      <c r="Q91" s="30">
        <v>57768239</v>
      </c>
      <c r="R91" s="43"/>
      <c r="S91" s="30">
        <v>8302757</v>
      </c>
    </row>
    <row r="92" spans="1:19" s="25" customFormat="1" ht="12.75">
      <c r="A92" s="24" t="s">
        <v>77</v>
      </c>
      <c r="B92" s="24"/>
      <c r="C92" s="30">
        <v>11534140</v>
      </c>
      <c r="D92" s="30"/>
      <c r="E92" s="30">
        <v>8369261</v>
      </c>
      <c r="F92" s="30"/>
      <c r="G92" s="30">
        <v>0</v>
      </c>
      <c r="H92" s="30"/>
      <c r="I92" s="30">
        <v>5343223</v>
      </c>
      <c r="J92" s="30"/>
      <c r="K92" s="30">
        <v>19777156</v>
      </c>
      <c r="L92" s="30"/>
      <c r="M92" s="30">
        <v>126962</v>
      </c>
      <c r="N92" s="16"/>
      <c r="O92" s="16">
        <f t="shared" si="1"/>
        <v>4069973</v>
      </c>
      <c r="P92" s="16"/>
      <c r="Q92" s="30">
        <v>49220715</v>
      </c>
      <c r="R92" s="128"/>
      <c r="S92" s="30">
        <f>1746800+400000+42280</f>
        <v>2189080</v>
      </c>
    </row>
    <row r="93" spans="1:19" ht="12.75">
      <c r="A93" s="32" t="s">
        <v>78</v>
      </c>
      <c r="B93" s="32"/>
      <c r="C93" s="30">
        <v>2969692</v>
      </c>
      <c r="D93" s="30"/>
      <c r="E93" s="30">
        <v>3717988</v>
      </c>
      <c r="F93" s="30"/>
      <c r="G93" s="30">
        <v>101401</v>
      </c>
      <c r="H93" s="30"/>
      <c r="I93" s="30">
        <v>1905370</v>
      </c>
      <c r="J93" s="30"/>
      <c r="K93" s="30">
        <v>12683796</v>
      </c>
      <c r="L93" s="30"/>
      <c r="M93" s="30">
        <v>229121</v>
      </c>
      <c r="N93" s="16"/>
      <c r="O93" s="16">
        <f t="shared" si="1"/>
        <v>1860066</v>
      </c>
      <c r="P93" s="16"/>
      <c r="Q93" s="30">
        <v>23467434</v>
      </c>
      <c r="R93" s="43"/>
      <c r="S93" s="30">
        <f>9902+274615+652082</f>
        <v>936599</v>
      </c>
    </row>
    <row r="94" spans="1:19" ht="12.75" hidden="1">
      <c r="A94" s="32" t="s">
        <v>79</v>
      </c>
      <c r="B94" s="32"/>
      <c r="C94" s="30">
        <v>0</v>
      </c>
      <c r="D94" s="30"/>
      <c r="E94" s="30">
        <v>0</v>
      </c>
      <c r="F94" s="30"/>
      <c r="G94" s="30">
        <v>0</v>
      </c>
      <c r="H94" s="30"/>
      <c r="I94" s="30">
        <v>0</v>
      </c>
      <c r="J94" s="30"/>
      <c r="K94" s="30">
        <v>0</v>
      </c>
      <c r="L94" s="30"/>
      <c r="M94" s="30">
        <v>0</v>
      </c>
      <c r="N94" s="16"/>
      <c r="O94" s="16">
        <f t="shared" si="1"/>
        <v>0</v>
      </c>
      <c r="P94" s="16"/>
      <c r="Q94" s="30">
        <v>0</v>
      </c>
      <c r="R94" s="43"/>
      <c r="S94" s="30">
        <v>0</v>
      </c>
    </row>
    <row r="95" spans="1:19" ht="12.75">
      <c r="A95" s="32" t="s">
        <v>80</v>
      </c>
      <c r="B95" s="32"/>
      <c r="C95" s="30">
        <v>66251838</v>
      </c>
      <c r="D95" s="30"/>
      <c r="E95" s="30">
        <v>0</v>
      </c>
      <c r="F95" s="30"/>
      <c r="G95" s="30">
        <v>0</v>
      </c>
      <c r="H95" s="30"/>
      <c r="I95" s="30">
        <v>13789145</v>
      </c>
      <c r="J95" s="30"/>
      <c r="K95" s="30">
        <v>36554283</v>
      </c>
      <c r="L95" s="30"/>
      <c r="M95" s="30">
        <v>1812452</v>
      </c>
      <c r="N95" s="16"/>
      <c r="O95" s="16">
        <f aca="true" t="shared" si="3" ref="O95:O100">Q95-C95-E95-G95-I95-K95-M95</f>
        <v>14328228</v>
      </c>
      <c r="P95" s="16"/>
      <c r="Q95" s="30">
        <v>132735946</v>
      </c>
      <c r="R95" s="43"/>
      <c r="S95" s="30">
        <f>560000+406261+10757773</f>
        <v>11724034</v>
      </c>
    </row>
    <row r="96" spans="1:19" ht="12.75">
      <c r="A96" s="32" t="s">
        <v>81</v>
      </c>
      <c r="B96" s="32"/>
      <c r="C96" s="30">
        <v>9310987</v>
      </c>
      <c r="D96" s="30"/>
      <c r="E96" s="30">
        <v>9800888</v>
      </c>
      <c r="F96" s="30"/>
      <c r="G96" s="30">
        <v>0</v>
      </c>
      <c r="H96" s="30"/>
      <c r="I96" s="30">
        <v>4817279</v>
      </c>
      <c r="J96" s="30"/>
      <c r="K96" s="30">
        <v>29178384</v>
      </c>
      <c r="L96" s="30"/>
      <c r="M96" s="30">
        <v>0</v>
      </c>
      <c r="N96" s="16"/>
      <c r="O96" s="16">
        <f t="shared" si="3"/>
        <v>2881462</v>
      </c>
      <c r="P96" s="16"/>
      <c r="Q96" s="30">
        <v>55989000</v>
      </c>
      <c r="R96" s="43"/>
      <c r="S96" s="30">
        <f>9931+302000+1843732+7299</f>
        <v>2162962</v>
      </c>
    </row>
    <row r="97" spans="1:19" ht="12.75">
      <c r="A97" s="32" t="s">
        <v>82</v>
      </c>
      <c r="B97" s="32"/>
      <c r="C97" s="30">
        <v>14079568</v>
      </c>
      <c r="D97" s="30"/>
      <c r="E97" s="30">
        <v>9749972</v>
      </c>
      <c r="F97" s="30"/>
      <c r="G97" s="30">
        <v>0</v>
      </c>
      <c r="H97" s="30"/>
      <c r="I97" s="30">
        <v>11584245</v>
      </c>
      <c r="J97" s="30"/>
      <c r="K97" s="30">
        <v>34255255</v>
      </c>
      <c r="L97" s="30"/>
      <c r="M97" s="30">
        <v>2310</v>
      </c>
      <c r="N97" s="16"/>
      <c r="O97" s="16">
        <f t="shared" si="3"/>
        <v>7259857</v>
      </c>
      <c r="P97" s="16"/>
      <c r="Q97" s="30">
        <v>76931207</v>
      </c>
      <c r="R97" s="43"/>
      <c r="S97" s="30">
        <f>653+211796</f>
        <v>212449</v>
      </c>
    </row>
    <row r="98" spans="1:19" ht="12.75" hidden="1">
      <c r="A98" s="32" t="s">
        <v>174</v>
      </c>
      <c r="B98" s="32"/>
      <c r="C98" s="30">
        <v>0</v>
      </c>
      <c r="D98" s="30"/>
      <c r="E98" s="30">
        <v>0</v>
      </c>
      <c r="F98" s="30"/>
      <c r="G98" s="30">
        <v>0</v>
      </c>
      <c r="H98" s="30"/>
      <c r="I98" s="30">
        <v>0</v>
      </c>
      <c r="J98" s="30"/>
      <c r="K98" s="30">
        <v>0</v>
      </c>
      <c r="L98" s="30"/>
      <c r="M98" s="30">
        <v>0</v>
      </c>
      <c r="N98" s="16"/>
      <c r="O98" s="16">
        <f t="shared" si="3"/>
        <v>0</v>
      </c>
      <c r="P98" s="16"/>
      <c r="Q98" s="30">
        <v>0</v>
      </c>
      <c r="R98" s="43"/>
      <c r="S98" s="30">
        <v>0</v>
      </c>
    </row>
    <row r="99" spans="1:19" ht="12.75">
      <c r="A99" s="32" t="s">
        <v>83</v>
      </c>
      <c r="B99" s="32"/>
      <c r="C99" s="30">
        <v>26699540</v>
      </c>
      <c r="D99" s="30"/>
      <c r="E99" s="30">
        <v>15048296</v>
      </c>
      <c r="F99" s="30"/>
      <c r="G99" s="30">
        <f>4042836+143863</f>
        <v>4186699</v>
      </c>
      <c r="H99" s="30"/>
      <c r="I99" s="30">
        <v>12147465</v>
      </c>
      <c r="J99" s="30"/>
      <c r="K99" s="30">
        <v>42254634</v>
      </c>
      <c r="L99" s="30"/>
      <c r="M99" s="30">
        <v>1094185</v>
      </c>
      <c r="N99" s="16"/>
      <c r="O99" s="16">
        <f t="shared" si="3"/>
        <v>8825562</v>
      </c>
      <c r="P99" s="16"/>
      <c r="Q99" s="30">
        <v>110256381</v>
      </c>
      <c r="R99" s="43"/>
      <c r="S99" s="30">
        <f>3635000+366126+2406400</f>
        <v>6407526</v>
      </c>
    </row>
    <row r="100" spans="1:19" ht="12.75" hidden="1">
      <c r="A100" s="32" t="s">
        <v>175</v>
      </c>
      <c r="B100" s="32"/>
      <c r="C100" s="68">
        <v>0</v>
      </c>
      <c r="D100" s="68"/>
      <c r="E100" s="68">
        <v>0</v>
      </c>
      <c r="F100" s="68"/>
      <c r="G100" s="68">
        <v>0</v>
      </c>
      <c r="H100" s="68"/>
      <c r="I100" s="68">
        <v>0</v>
      </c>
      <c r="J100" s="72"/>
      <c r="K100" s="68">
        <v>0</v>
      </c>
      <c r="L100" s="72"/>
      <c r="M100" s="68">
        <v>0</v>
      </c>
      <c r="N100" s="72"/>
      <c r="O100" s="16">
        <f t="shared" si="3"/>
        <v>0</v>
      </c>
      <c r="P100" s="72"/>
      <c r="Q100" s="68">
        <v>0</v>
      </c>
      <c r="R100" s="33"/>
      <c r="S100" s="68">
        <v>0</v>
      </c>
    </row>
    <row r="101" spans="1:19" ht="12.75">
      <c r="A101" s="32"/>
      <c r="B101" s="32"/>
      <c r="C101" s="68"/>
      <c r="D101" s="68"/>
      <c r="E101" s="68"/>
      <c r="F101" s="68"/>
      <c r="G101" s="68"/>
      <c r="H101" s="68"/>
      <c r="I101" s="68"/>
      <c r="J101" s="72"/>
      <c r="K101" s="68"/>
      <c r="L101" s="72"/>
      <c r="M101" s="68"/>
      <c r="N101" s="72"/>
      <c r="O101" s="16"/>
      <c r="P101" s="72"/>
      <c r="Q101" s="68"/>
      <c r="R101" s="33"/>
      <c r="S101" s="68"/>
    </row>
    <row r="102" spans="1:19" ht="12.75">
      <c r="A102" s="32" t="s">
        <v>229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2"/>
    </row>
    <row r="103" spans="1:19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2"/>
    </row>
    <row r="104" spans="1:19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2"/>
    </row>
    <row r="105" spans="1:19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2"/>
    </row>
    <row r="106" spans="1:19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2"/>
    </row>
    <row r="107" spans="1:19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2"/>
    </row>
    <row r="108" spans="1:18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1:18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1:18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</sheetData>
  <sheetProtection/>
  <printOptions/>
  <pageMargins left="1" right="1" top="0.5" bottom="0.5" header="0" footer="0.25"/>
  <pageSetup firstPageNumber="32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AN606"/>
  <sheetViews>
    <sheetView tabSelected="1" view="pageBreakPreview" zoomScaleSheetLayoutView="100" zoomScalePageLayoutView="0" workbookViewId="0" topLeftCell="A1">
      <pane xSplit="1" ySplit="8" topLeftCell="C9" activePane="bottomRight" state="frozen"/>
      <selection pane="topLeft" activeCell="T33" sqref="T33"/>
      <selection pane="topRight" activeCell="T33" sqref="T33"/>
      <selection pane="bottomLeft" activeCell="T33" sqref="T33"/>
      <selection pane="bottomRight" activeCell="O92" sqref="O92"/>
    </sheetView>
  </sheetViews>
  <sheetFormatPr defaultColWidth="9.140625" defaultRowHeight="12.75"/>
  <cols>
    <col min="1" max="1" width="15.7109375" style="34" customWidth="1"/>
    <col min="2" max="2" width="1.7109375" style="34" customWidth="1"/>
    <col min="3" max="3" width="11.7109375" style="34" customWidth="1"/>
    <col min="4" max="4" width="1.7109375" style="34" customWidth="1"/>
    <col min="5" max="5" width="11.7109375" style="34" customWidth="1"/>
    <col min="6" max="6" width="1.7109375" style="34" customWidth="1"/>
    <col min="7" max="7" width="11.7109375" style="34" customWidth="1"/>
    <col min="8" max="8" width="1.7109375" style="34" customWidth="1"/>
    <col min="9" max="9" width="11.7109375" style="34" customWidth="1"/>
    <col min="10" max="10" width="1.7109375" style="34" customWidth="1"/>
    <col min="11" max="11" width="11.7109375" style="34" customWidth="1"/>
    <col min="12" max="12" width="1.7109375" style="34" customWidth="1"/>
    <col min="13" max="13" width="11.7109375" style="34" customWidth="1"/>
    <col min="14" max="14" width="1.7109375" style="34" customWidth="1"/>
    <col min="15" max="15" width="11.7109375" style="34" customWidth="1"/>
    <col min="16" max="16" width="1.7109375" style="34" customWidth="1"/>
    <col min="17" max="17" width="10.7109375" style="34" customWidth="1"/>
    <col min="18" max="18" width="1.7109375" style="34" customWidth="1"/>
    <col min="19" max="19" width="10.7109375" style="34" customWidth="1"/>
    <col min="20" max="20" width="1.7109375" style="34" customWidth="1"/>
    <col min="21" max="21" width="10.7109375" style="34" customWidth="1"/>
    <col min="22" max="22" width="1.7109375" style="34" customWidth="1"/>
    <col min="23" max="23" width="10.7109375" style="34" customWidth="1"/>
    <col min="24" max="24" width="1.7109375" style="34" customWidth="1"/>
    <col min="25" max="25" width="10.7109375" style="34" customWidth="1"/>
    <col min="26" max="26" width="1.7109375" style="34" customWidth="1"/>
    <col min="27" max="27" width="10.7109375" style="34" customWidth="1"/>
    <col min="28" max="28" width="1.7109375" style="34" customWidth="1"/>
    <col min="29" max="29" width="11.7109375" style="34" customWidth="1"/>
    <col min="30" max="30" width="2.7109375" style="34" customWidth="1"/>
    <col min="31" max="31" width="11.7109375" style="34" customWidth="1"/>
    <col min="32" max="32" width="11.7109375" style="26" customWidth="1"/>
    <col min="33" max="33" width="11.140625" style="26" bestFit="1" customWidth="1"/>
    <col min="34" max="34" width="9.140625" style="26" customWidth="1"/>
    <col min="35" max="35" width="11.421875" style="26" bestFit="1" customWidth="1"/>
    <col min="36" max="36" width="9.140625" style="26" customWidth="1"/>
    <col min="37" max="37" width="10.8515625" style="26" bestFit="1" customWidth="1"/>
    <col min="38" max="38" width="9.140625" style="26" customWidth="1"/>
    <col min="39" max="39" width="14.140625" style="104" customWidth="1"/>
    <col min="40" max="16384" width="9.140625" style="26" customWidth="1"/>
  </cols>
  <sheetData>
    <row r="1" spans="1:33" s="66" customFormat="1" ht="12.75">
      <c r="A1" s="63" t="s">
        <v>202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42"/>
      <c r="AF1" s="49"/>
      <c r="AG1" s="65"/>
    </row>
    <row r="2" spans="1:33" s="66" customFormat="1" ht="12.75">
      <c r="A2" s="63" t="s">
        <v>249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42"/>
      <c r="AF2" s="49"/>
      <c r="AG2" s="65"/>
    </row>
    <row r="3" spans="1:33" s="66" customFormat="1" ht="12.75">
      <c r="A3" s="63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42"/>
      <c r="AF3" s="49"/>
      <c r="AG3" s="65"/>
    </row>
    <row r="4" spans="1:33" ht="12.75">
      <c r="A4" s="57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32"/>
      <c r="AF4" s="33"/>
      <c r="AG4" s="67"/>
    </row>
    <row r="5" spans="1:33" ht="12.75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32"/>
      <c r="AF5" s="33"/>
      <c r="AG5" s="67"/>
    </row>
    <row r="6" spans="1:37" ht="12.75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2"/>
      <c r="AF6" s="33"/>
      <c r="AG6" s="67" t="s">
        <v>207</v>
      </c>
      <c r="AI6" s="26" t="s">
        <v>212</v>
      </c>
      <c r="AK6" s="26" t="s">
        <v>215</v>
      </c>
    </row>
    <row r="7" spans="1:39" ht="12.75">
      <c r="A7" s="19"/>
      <c r="B7" s="19"/>
      <c r="C7" s="19" t="s">
        <v>185</v>
      </c>
      <c r="D7" s="19"/>
      <c r="E7" s="19"/>
      <c r="F7" s="19"/>
      <c r="G7" s="19" t="s">
        <v>84</v>
      </c>
      <c r="H7" s="19"/>
      <c r="I7" s="19" t="s">
        <v>84</v>
      </c>
      <c r="J7" s="19"/>
      <c r="K7" s="19"/>
      <c r="L7" s="19"/>
      <c r="M7" s="19" t="s">
        <v>85</v>
      </c>
      <c r="N7" s="19"/>
      <c r="O7" s="19" t="s">
        <v>165</v>
      </c>
      <c r="P7" s="19"/>
      <c r="Q7" s="19" t="s">
        <v>86</v>
      </c>
      <c r="R7" s="19"/>
      <c r="S7" s="19" t="s">
        <v>99</v>
      </c>
      <c r="T7" s="19"/>
      <c r="U7" s="19" t="s">
        <v>87</v>
      </c>
      <c r="V7" s="19"/>
      <c r="W7" s="19" t="s">
        <v>1</v>
      </c>
      <c r="X7" s="19"/>
      <c r="Y7" s="19"/>
      <c r="Z7" s="19"/>
      <c r="AA7" s="19" t="s">
        <v>100</v>
      </c>
      <c r="AB7" s="19"/>
      <c r="AC7" s="23"/>
      <c r="AD7" s="23"/>
      <c r="AE7" s="32" t="s">
        <v>101</v>
      </c>
      <c r="AF7" s="33"/>
      <c r="AG7" s="99" t="s">
        <v>211</v>
      </c>
      <c r="AH7" s="34"/>
      <c r="AI7" s="34" t="s">
        <v>213</v>
      </c>
      <c r="AJ7" s="34"/>
      <c r="AK7" s="34" t="s">
        <v>216</v>
      </c>
      <c r="AL7" s="34"/>
      <c r="AM7" s="34" t="s">
        <v>218</v>
      </c>
    </row>
    <row r="8" spans="1:39" ht="12.75">
      <c r="A8" s="53" t="s">
        <v>5</v>
      </c>
      <c r="B8" s="23"/>
      <c r="C8" s="53" t="s">
        <v>186</v>
      </c>
      <c r="D8" s="23"/>
      <c r="E8" s="53" t="s">
        <v>88</v>
      </c>
      <c r="F8" s="23"/>
      <c r="G8" s="53" t="s">
        <v>89</v>
      </c>
      <c r="H8" s="23"/>
      <c r="I8" s="53" t="s">
        <v>90</v>
      </c>
      <c r="J8" s="23"/>
      <c r="K8" s="53" t="s">
        <v>91</v>
      </c>
      <c r="L8" s="23"/>
      <c r="M8" s="53" t="s">
        <v>8</v>
      </c>
      <c r="N8" s="23"/>
      <c r="O8" s="53" t="s">
        <v>166</v>
      </c>
      <c r="P8" s="23"/>
      <c r="Q8" s="53" t="s">
        <v>189</v>
      </c>
      <c r="R8" s="23"/>
      <c r="S8" s="53" t="s">
        <v>92</v>
      </c>
      <c r="T8" s="23"/>
      <c r="U8" s="53" t="s">
        <v>93</v>
      </c>
      <c r="V8" s="23"/>
      <c r="W8" s="53" t="s">
        <v>9</v>
      </c>
      <c r="X8" s="23"/>
      <c r="Y8" s="53" t="s">
        <v>94</v>
      </c>
      <c r="Z8" s="23"/>
      <c r="AA8" s="53" t="s">
        <v>95</v>
      </c>
      <c r="AB8" s="23"/>
      <c r="AC8" s="53" t="s">
        <v>4</v>
      </c>
      <c r="AD8" s="23"/>
      <c r="AE8" s="32" t="s">
        <v>92</v>
      </c>
      <c r="AF8" s="33"/>
      <c r="AG8" s="99" t="s">
        <v>208</v>
      </c>
      <c r="AH8" s="34"/>
      <c r="AI8" s="34" t="s">
        <v>214</v>
      </c>
      <c r="AJ8" s="34"/>
      <c r="AK8" s="34" t="s">
        <v>217</v>
      </c>
      <c r="AL8" s="34"/>
      <c r="AM8" s="34" t="s">
        <v>219</v>
      </c>
    </row>
    <row r="9" spans="1:39" ht="12.75">
      <c r="A9" s="19"/>
      <c r="B9" s="23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19"/>
      <c r="T9" s="23"/>
      <c r="U9" s="19"/>
      <c r="V9" s="23"/>
      <c r="W9" s="19"/>
      <c r="X9" s="23"/>
      <c r="Y9" s="19"/>
      <c r="Z9" s="23"/>
      <c r="AA9" s="19"/>
      <c r="AB9" s="23"/>
      <c r="AC9" s="19"/>
      <c r="AD9" s="23"/>
      <c r="AE9" s="32"/>
      <c r="AF9" s="33"/>
      <c r="AG9" s="99"/>
      <c r="AH9" s="34"/>
      <c r="AI9" s="34"/>
      <c r="AJ9" s="34"/>
      <c r="AK9" s="34"/>
      <c r="AL9" s="34"/>
      <c r="AM9" s="34"/>
    </row>
    <row r="10" spans="1:39" ht="12.75" hidden="1">
      <c r="A10" s="19"/>
      <c r="B10" s="23"/>
      <c r="C10" s="19"/>
      <c r="D10" s="23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23"/>
      <c r="S10" s="19"/>
      <c r="T10" s="23"/>
      <c r="U10" s="19"/>
      <c r="V10" s="23"/>
      <c r="W10" s="19"/>
      <c r="X10" s="23"/>
      <c r="Y10" s="19"/>
      <c r="Z10" s="23"/>
      <c r="AA10" s="19"/>
      <c r="AB10" s="23"/>
      <c r="AC10" s="19"/>
      <c r="AD10" s="23"/>
      <c r="AE10" s="32"/>
      <c r="AF10" s="33"/>
      <c r="AG10" s="99"/>
      <c r="AH10" s="34"/>
      <c r="AI10" s="34"/>
      <c r="AJ10" s="34"/>
      <c r="AK10" s="34"/>
      <c r="AL10" s="34"/>
      <c r="AM10" s="34"/>
    </row>
    <row r="11" spans="1:39" ht="12.75" hidden="1">
      <c r="A11" s="89" t="s">
        <v>237</v>
      </c>
      <c r="B11" s="23"/>
      <c r="C11" s="47">
        <v>0</v>
      </c>
      <c r="D11" s="47"/>
      <c r="E11" s="47">
        <v>0</v>
      </c>
      <c r="F11" s="47"/>
      <c r="G11" s="47">
        <v>0</v>
      </c>
      <c r="H11" s="47"/>
      <c r="I11" s="47">
        <v>0</v>
      </c>
      <c r="J11" s="47"/>
      <c r="K11" s="47">
        <v>0</v>
      </c>
      <c r="L11" s="47"/>
      <c r="M11" s="47">
        <v>0</v>
      </c>
      <c r="N11" s="47"/>
      <c r="O11" s="47">
        <v>0</v>
      </c>
      <c r="P11" s="47"/>
      <c r="Q11" s="47">
        <v>0</v>
      </c>
      <c r="R11" s="47"/>
      <c r="S11" s="47">
        <v>0</v>
      </c>
      <c r="T11" s="47"/>
      <c r="U11" s="47">
        <v>0</v>
      </c>
      <c r="V11" s="47"/>
      <c r="W11" s="47">
        <v>0</v>
      </c>
      <c r="X11" s="47"/>
      <c r="Y11" s="47">
        <v>0</v>
      </c>
      <c r="Z11" s="47"/>
      <c r="AA11" s="47">
        <v>0</v>
      </c>
      <c r="AB11" s="47"/>
      <c r="AC11" s="47">
        <f>SUM(C11:AA11)</f>
        <v>0</v>
      </c>
      <c r="AD11" s="30"/>
      <c r="AE11" s="103">
        <f>SUM(C11:S11)</f>
        <v>0</v>
      </c>
      <c r="AF11" s="33"/>
      <c r="AG11" s="47">
        <v>0</v>
      </c>
      <c r="AH11" s="34"/>
      <c r="AI11" s="47">
        <v>0</v>
      </c>
      <c r="AJ11" s="34"/>
      <c r="AK11" s="34">
        <v>0</v>
      </c>
      <c r="AL11" s="34"/>
      <c r="AM11" s="34">
        <f>+'Gov Fd Rv'!Q11+'Gov Fd Rv'!S11-'Gov Fnd Exp'!AC11-AG11+AI11-'Gov Fd BS'!O10+AK11</f>
        <v>0</v>
      </c>
    </row>
    <row r="12" spans="1:39" ht="12.75">
      <c r="A12" s="32" t="s">
        <v>13</v>
      </c>
      <c r="B12" s="32"/>
      <c r="C12" s="47">
        <v>14658776</v>
      </c>
      <c r="D12" s="47"/>
      <c r="E12" s="47">
        <v>8783290</v>
      </c>
      <c r="F12" s="47"/>
      <c r="G12" s="47">
        <v>10240831</v>
      </c>
      <c r="H12" s="47"/>
      <c r="I12" s="47">
        <v>7513393</v>
      </c>
      <c r="J12" s="47"/>
      <c r="K12" s="47">
        <v>13203511</v>
      </c>
      <c r="L12" s="47"/>
      <c r="M12" s="47">
        <v>21883664</v>
      </c>
      <c r="N12" s="47"/>
      <c r="O12" s="47">
        <v>0</v>
      </c>
      <c r="P12" s="47"/>
      <c r="Q12" s="47">
        <v>715726</v>
      </c>
      <c r="R12" s="47"/>
      <c r="S12" s="47">
        <v>339472</v>
      </c>
      <c r="T12" s="47"/>
      <c r="U12" s="47">
        <v>3690757</v>
      </c>
      <c r="V12" s="47"/>
      <c r="W12" s="47">
        <v>674598</v>
      </c>
      <c r="X12" s="47"/>
      <c r="Y12" s="47">
        <v>9454876</v>
      </c>
      <c r="Z12" s="47"/>
      <c r="AA12" s="47">
        <v>1114559</v>
      </c>
      <c r="AB12" s="47"/>
      <c r="AC12" s="47">
        <f>SUM(C12:AA12)</f>
        <v>92273453</v>
      </c>
      <c r="AD12" s="30"/>
      <c r="AE12" s="103">
        <f>SUM(C12:S12)</f>
        <v>77338663</v>
      </c>
      <c r="AF12" s="33"/>
      <c r="AG12" s="47">
        <v>1282017</v>
      </c>
      <c r="AH12" s="34"/>
      <c r="AI12" s="47">
        <v>37265629</v>
      </c>
      <c r="AJ12" s="34"/>
      <c r="AK12" s="47">
        <v>0</v>
      </c>
      <c r="AL12" s="34"/>
      <c r="AM12" s="34">
        <f>+'Gov Fd Rv'!Q12+'Gov Fd Rv'!S12-'Gov Fnd Exp'!AC12-AG12+AI12-'Gov Fd BS'!O11+AK12</f>
        <v>0</v>
      </c>
    </row>
    <row r="13" spans="1:40" ht="12.75">
      <c r="A13" s="32" t="s">
        <v>14</v>
      </c>
      <c r="B13" s="32"/>
      <c r="C13" s="30">
        <v>5965707</v>
      </c>
      <c r="D13" s="30"/>
      <c r="E13" s="30">
        <v>1735261</v>
      </c>
      <c r="F13" s="30"/>
      <c r="G13" s="30">
        <f>5710297+244390</f>
        <v>5954687</v>
      </c>
      <c r="H13" s="30"/>
      <c r="I13" s="30">
        <v>4746179</v>
      </c>
      <c r="J13" s="30"/>
      <c r="K13" s="30">
        <f>4938990+5563579+502185</f>
        <v>11004754</v>
      </c>
      <c r="L13" s="30"/>
      <c r="M13" s="30">
        <f>1791136+3926461+1400964</f>
        <v>7118561</v>
      </c>
      <c r="N13" s="30"/>
      <c r="O13" s="30">
        <v>0</v>
      </c>
      <c r="P13" s="30"/>
      <c r="Q13" s="30">
        <v>20000</v>
      </c>
      <c r="R13" s="30"/>
      <c r="S13" s="30">
        <v>0</v>
      </c>
      <c r="T13" s="30"/>
      <c r="U13" s="30">
        <v>0</v>
      </c>
      <c r="V13" s="30"/>
      <c r="W13" s="30">
        <v>710482</v>
      </c>
      <c r="X13" s="30"/>
      <c r="Y13" s="30">
        <v>465000</v>
      </c>
      <c r="Z13" s="30"/>
      <c r="AA13" s="30">
        <v>217242</v>
      </c>
      <c r="AB13" s="30"/>
      <c r="AC13" s="30">
        <f aca="true" t="shared" si="0" ref="AC13:AC29">SUM(C13:AA13)</f>
        <v>37937873</v>
      </c>
      <c r="AD13" s="30"/>
      <c r="AE13" s="103">
        <f aca="true" t="shared" si="1" ref="AE13:AE29">SUM(C13:S13)</f>
        <v>36545149</v>
      </c>
      <c r="AF13" s="33"/>
      <c r="AG13" s="30">
        <v>1823857</v>
      </c>
      <c r="AH13" s="34"/>
      <c r="AI13" s="30">
        <v>15779213</v>
      </c>
      <c r="AJ13" s="34"/>
      <c r="AK13" s="30">
        <v>0</v>
      </c>
      <c r="AL13" s="34"/>
      <c r="AM13" s="34">
        <f>+'Gov Fd Rv'!Q13+'Gov Fd Rv'!S13-'Gov Fnd Exp'!AC13-AG13+AI13-'Gov Fd BS'!O12+AK13</f>
        <v>0</v>
      </c>
      <c r="AN13" s="26" t="s">
        <v>225</v>
      </c>
    </row>
    <row r="14" spans="1:39" ht="12.75">
      <c r="A14" s="32" t="s">
        <v>15</v>
      </c>
      <c r="B14" s="32"/>
      <c r="C14" s="30">
        <v>9861917</v>
      </c>
      <c r="D14" s="30"/>
      <c r="E14" s="30">
        <v>4451688</v>
      </c>
      <c r="F14" s="30"/>
      <c r="G14" s="30">
        <v>9465056</v>
      </c>
      <c r="H14" s="30"/>
      <c r="I14" s="30">
        <v>6638719</v>
      </c>
      <c r="J14" s="30"/>
      <c r="K14" s="30">
        <v>22839318</v>
      </c>
      <c r="L14" s="30"/>
      <c r="M14" s="30">
        <v>37564132</v>
      </c>
      <c r="N14" s="30"/>
      <c r="O14" s="30">
        <v>0</v>
      </c>
      <c r="P14" s="30"/>
      <c r="Q14" s="30">
        <v>385792</v>
      </c>
      <c r="R14" s="30"/>
      <c r="S14" s="30">
        <v>690965</v>
      </c>
      <c r="T14" s="30"/>
      <c r="U14" s="30">
        <v>5208813</v>
      </c>
      <c r="V14" s="30"/>
      <c r="W14" s="30">
        <v>0</v>
      </c>
      <c r="X14" s="30"/>
      <c r="Y14" s="30">
        <v>1156963</v>
      </c>
      <c r="Z14" s="30"/>
      <c r="AA14" s="30">
        <v>312435</v>
      </c>
      <c r="AB14" s="30"/>
      <c r="AC14" s="30">
        <f t="shared" si="0"/>
        <v>98575798</v>
      </c>
      <c r="AD14" s="30"/>
      <c r="AE14" s="103">
        <f t="shared" si="1"/>
        <v>91897587</v>
      </c>
      <c r="AF14" s="33"/>
      <c r="AG14" s="30">
        <f>65000+6543976</f>
        <v>6608976</v>
      </c>
      <c r="AH14" s="34"/>
      <c r="AI14" s="30">
        <v>36552244</v>
      </c>
      <c r="AJ14" s="34"/>
      <c r="AK14" s="30">
        <v>0</v>
      </c>
      <c r="AL14" s="34"/>
      <c r="AM14" s="34">
        <f>+'Gov Fd Rv'!Q14+'Gov Fd Rv'!S14-'Gov Fnd Exp'!AC14-AG14+AI14-'Gov Fd BS'!O13+AK14</f>
        <v>0</v>
      </c>
    </row>
    <row r="15" spans="1:39" ht="12.75">
      <c r="A15" s="32" t="s">
        <v>16</v>
      </c>
      <c r="B15" s="32"/>
      <c r="C15" s="30">
        <v>5906008</v>
      </c>
      <c r="D15" s="30"/>
      <c r="E15" s="30">
        <v>2517781</v>
      </c>
      <c r="F15" s="30"/>
      <c r="G15" s="30">
        <v>4385365</v>
      </c>
      <c r="H15" s="30"/>
      <c r="I15" s="30">
        <v>5876923</v>
      </c>
      <c r="J15" s="30"/>
      <c r="K15" s="30">
        <v>2235215</v>
      </c>
      <c r="L15" s="30"/>
      <c r="M15" s="30">
        <v>30247660</v>
      </c>
      <c r="N15" s="30"/>
      <c r="O15" s="30">
        <v>0</v>
      </c>
      <c r="P15" s="30"/>
      <c r="Q15" s="30">
        <v>7783</v>
      </c>
      <c r="R15" s="30"/>
      <c r="S15" s="30">
        <v>263447</v>
      </c>
      <c r="T15" s="30"/>
      <c r="U15" s="30">
        <v>2639293</v>
      </c>
      <c r="V15" s="30"/>
      <c r="W15" s="30">
        <v>0</v>
      </c>
      <c r="X15" s="30"/>
      <c r="Y15" s="30">
        <v>572853</v>
      </c>
      <c r="Z15" s="30"/>
      <c r="AA15" s="30">
        <v>166391</v>
      </c>
      <c r="AB15" s="30"/>
      <c r="AC15" s="30">
        <f t="shared" si="0"/>
        <v>54818719</v>
      </c>
      <c r="AD15" s="30"/>
      <c r="AE15" s="103">
        <f t="shared" si="1"/>
        <v>51440182</v>
      </c>
      <c r="AF15" s="33"/>
      <c r="AG15" s="30">
        <v>1649438</v>
      </c>
      <c r="AH15" s="34"/>
      <c r="AI15" s="30">
        <v>19887710</v>
      </c>
      <c r="AJ15" s="34"/>
      <c r="AK15" s="30">
        <v>0</v>
      </c>
      <c r="AL15" s="34"/>
      <c r="AM15" s="34">
        <f>+'Gov Fd Rv'!Q15+'Gov Fd Rv'!S15-'Gov Fnd Exp'!AC15-AG15+AI15-'Gov Fd BS'!O14+AK15</f>
        <v>0</v>
      </c>
    </row>
    <row r="16" spans="1:39" ht="12.75">
      <c r="A16" s="32" t="s">
        <v>17</v>
      </c>
      <c r="B16" s="32"/>
      <c r="C16" s="30">
        <v>3407151</v>
      </c>
      <c r="D16" s="30"/>
      <c r="E16" s="30">
        <v>1852229</v>
      </c>
      <c r="F16" s="30"/>
      <c r="G16" s="30">
        <v>5120848</v>
      </c>
      <c r="H16" s="30"/>
      <c r="I16" s="30">
        <v>6406829</v>
      </c>
      <c r="J16" s="30"/>
      <c r="K16" s="30">
        <v>5615982</v>
      </c>
      <c r="L16" s="30"/>
      <c r="M16" s="30">
        <v>4647787</v>
      </c>
      <c r="N16" s="30"/>
      <c r="O16" s="30">
        <v>0</v>
      </c>
      <c r="P16" s="30"/>
      <c r="Q16" s="30">
        <v>0</v>
      </c>
      <c r="R16" s="30"/>
      <c r="S16" s="30">
        <v>2007584</v>
      </c>
      <c r="T16" s="30"/>
      <c r="U16" s="30">
        <v>774687</v>
      </c>
      <c r="V16" s="30"/>
      <c r="W16" s="30">
        <v>0</v>
      </c>
      <c r="X16" s="30"/>
      <c r="Y16" s="30">
        <v>296823</v>
      </c>
      <c r="Z16" s="30"/>
      <c r="AA16" s="30">
        <v>103967</v>
      </c>
      <c r="AB16" s="30"/>
      <c r="AC16" s="30">
        <f t="shared" si="0"/>
        <v>30233887</v>
      </c>
      <c r="AD16" s="30"/>
      <c r="AE16" s="103">
        <f t="shared" si="1"/>
        <v>29058410</v>
      </c>
      <c r="AF16" s="33"/>
      <c r="AG16" s="30">
        <f>672496+1021000</f>
        <v>1693496</v>
      </c>
      <c r="AH16" s="34"/>
      <c r="AI16" s="30">
        <v>19458231</v>
      </c>
      <c r="AJ16" s="34"/>
      <c r="AK16" s="30">
        <v>0</v>
      </c>
      <c r="AL16" s="34"/>
      <c r="AM16" s="34">
        <f>+'Gov Fd Rv'!Q16+'Gov Fd Rv'!S16-'Gov Fnd Exp'!AC16-AG16+AI16-'Gov Fd BS'!O15+AK16</f>
        <v>0</v>
      </c>
    </row>
    <row r="17" spans="1:39" ht="12.75">
      <c r="A17" s="32" t="s">
        <v>18</v>
      </c>
      <c r="B17" s="32"/>
      <c r="C17" s="30">
        <v>7591288</v>
      </c>
      <c r="D17" s="30"/>
      <c r="E17" s="30">
        <v>3496049</v>
      </c>
      <c r="F17" s="30"/>
      <c r="G17" s="30">
        <v>8573693</v>
      </c>
      <c r="H17" s="30"/>
      <c r="I17" s="30">
        <v>6712736</v>
      </c>
      <c r="J17" s="30"/>
      <c r="K17" s="30">
        <v>11764822</v>
      </c>
      <c r="L17" s="30"/>
      <c r="M17" s="30">
        <v>18048999</v>
      </c>
      <c r="N17" s="30"/>
      <c r="O17" s="30">
        <v>470000</v>
      </c>
      <c r="P17" s="30"/>
      <c r="Q17" s="30">
        <v>0</v>
      </c>
      <c r="R17" s="30"/>
      <c r="S17" s="30">
        <v>11605</v>
      </c>
      <c r="T17" s="30"/>
      <c r="U17" s="30">
        <v>4284127</v>
      </c>
      <c r="V17" s="30"/>
      <c r="W17" s="30">
        <v>0</v>
      </c>
      <c r="X17" s="30"/>
      <c r="Y17" s="30">
        <v>510357</v>
      </c>
      <c r="Z17" s="30"/>
      <c r="AA17" s="30">
        <f>531249+2000000</f>
        <v>2531249</v>
      </c>
      <c r="AB17" s="30"/>
      <c r="AC17" s="30">
        <f t="shared" si="0"/>
        <v>63994925</v>
      </c>
      <c r="AD17" s="30"/>
      <c r="AE17" s="103">
        <f t="shared" si="1"/>
        <v>56669192</v>
      </c>
      <c r="AF17" s="33"/>
      <c r="AG17" s="30">
        <v>2486215</v>
      </c>
      <c r="AH17" s="34"/>
      <c r="AI17" s="30">
        <v>35668636</v>
      </c>
      <c r="AJ17" s="34"/>
      <c r="AK17" s="30">
        <v>0</v>
      </c>
      <c r="AL17" s="34"/>
      <c r="AM17" s="34">
        <f>+'Gov Fd Rv'!Q17+'Gov Fd Rv'!S17-'Gov Fnd Exp'!AC17-AG17+AI17-'Gov Fd BS'!O16+AK17</f>
        <v>0</v>
      </c>
    </row>
    <row r="18" spans="1:39" ht="12.75" hidden="1">
      <c r="A18" s="32" t="s">
        <v>240</v>
      </c>
      <c r="B18" s="3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>
        <f t="shared" si="0"/>
        <v>0</v>
      </c>
      <c r="AD18" s="30"/>
      <c r="AE18" s="103">
        <f t="shared" si="1"/>
        <v>0</v>
      </c>
      <c r="AF18" s="33"/>
      <c r="AG18" s="30"/>
      <c r="AH18" s="34"/>
      <c r="AI18" s="30"/>
      <c r="AJ18" s="34"/>
      <c r="AK18" s="30"/>
      <c r="AL18" s="34"/>
      <c r="AM18" s="34">
        <f>+'Gov Fd Rv'!Q18+'Gov Fd Rv'!S18-'Gov Fnd Exp'!AC18-AG18+AI18-'Gov Fd BS'!O17+AK18</f>
        <v>0</v>
      </c>
    </row>
    <row r="19" spans="1:39" ht="12.75">
      <c r="A19" s="32" t="s">
        <v>19</v>
      </c>
      <c r="B19" s="32"/>
      <c r="C19" s="30">
        <v>32992065</v>
      </c>
      <c r="D19" s="30"/>
      <c r="E19" s="30">
        <v>16293690</v>
      </c>
      <c r="F19" s="30"/>
      <c r="G19" s="30">
        <v>60514200</v>
      </c>
      <c r="H19" s="30"/>
      <c r="I19" s="30">
        <v>29572215</v>
      </c>
      <c r="J19" s="30"/>
      <c r="K19" s="30">
        <v>54243058</v>
      </c>
      <c r="L19" s="30"/>
      <c r="M19" s="30">
        <v>89324671</v>
      </c>
      <c r="N19" s="30"/>
      <c r="O19" s="30">
        <v>0</v>
      </c>
      <c r="P19" s="30"/>
      <c r="Q19" s="30">
        <v>686496</v>
      </c>
      <c r="R19" s="30"/>
      <c r="S19" s="30">
        <v>0</v>
      </c>
      <c r="T19" s="30"/>
      <c r="U19" s="30">
        <v>4254031</v>
      </c>
      <c r="V19" s="30"/>
      <c r="W19" s="30">
        <v>0</v>
      </c>
      <c r="X19" s="30"/>
      <c r="Y19" s="30">
        <v>5957591</v>
      </c>
      <c r="Z19" s="30"/>
      <c r="AA19" s="30">
        <f>5454896+210797</f>
        <v>5665693</v>
      </c>
      <c r="AB19" s="30"/>
      <c r="AC19" s="30">
        <f t="shared" si="0"/>
        <v>299503710</v>
      </c>
      <c r="AD19" s="30"/>
      <c r="AE19" s="103">
        <f t="shared" si="1"/>
        <v>283626395</v>
      </c>
      <c r="AF19" s="33"/>
      <c r="AG19" s="30">
        <f>2803627+17836926</f>
        <v>20640553</v>
      </c>
      <c r="AH19" s="34"/>
      <c r="AI19" s="30">
        <v>104083520</v>
      </c>
      <c r="AJ19" s="34"/>
      <c r="AK19" s="30">
        <v>0</v>
      </c>
      <c r="AL19" s="34"/>
      <c r="AM19" s="34">
        <f>+'Gov Fd Rv'!Q19+'Gov Fd Rv'!S19-'Gov Fnd Exp'!AC19-AG19+AI19-'Gov Fd BS'!O18+AK19</f>
        <v>0</v>
      </c>
    </row>
    <row r="20" spans="1:39" ht="12.75">
      <c r="A20" s="32" t="s">
        <v>20</v>
      </c>
      <c r="B20" s="32"/>
      <c r="C20" s="30">
        <v>2652650</v>
      </c>
      <c r="D20" s="30"/>
      <c r="E20" s="30">
        <v>1000242</v>
      </c>
      <c r="F20" s="30"/>
      <c r="G20" s="30">
        <v>2449464</v>
      </c>
      <c r="H20" s="30"/>
      <c r="I20" s="30">
        <v>3366477</v>
      </c>
      <c r="J20" s="30"/>
      <c r="K20" s="30">
        <v>4343474</v>
      </c>
      <c r="L20" s="30"/>
      <c r="M20" s="30">
        <v>6384292</v>
      </c>
      <c r="N20" s="30"/>
      <c r="O20" s="30">
        <f>146938+44546</f>
        <v>191484</v>
      </c>
      <c r="P20" s="30"/>
      <c r="Q20" s="30">
        <v>0</v>
      </c>
      <c r="R20" s="30"/>
      <c r="S20" s="30">
        <v>1051419</v>
      </c>
      <c r="T20" s="30"/>
      <c r="U20" s="30">
        <v>885056</v>
      </c>
      <c r="V20" s="30"/>
      <c r="W20" s="30">
        <v>0</v>
      </c>
      <c r="X20" s="30"/>
      <c r="Y20" s="30">
        <v>161377</v>
      </c>
      <c r="Z20" s="30"/>
      <c r="AA20" s="30">
        <v>18821</v>
      </c>
      <c r="AB20" s="30"/>
      <c r="AC20" s="30">
        <f t="shared" si="0"/>
        <v>22504756</v>
      </c>
      <c r="AD20" s="30"/>
      <c r="AE20" s="103">
        <f t="shared" si="1"/>
        <v>21439502</v>
      </c>
      <c r="AF20" s="33"/>
      <c r="AG20" s="30">
        <v>337960</v>
      </c>
      <c r="AH20" s="34"/>
      <c r="AI20" s="30">
        <v>6104017</v>
      </c>
      <c r="AJ20" s="34"/>
      <c r="AK20" s="30">
        <v>0</v>
      </c>
      <c r="AL20" s="34"/>
      <c r="AM20" s="34">
        <f>+'Gov Fd Rv'!Q20+'Gov Fd Rv'!S20-'Gov Fnd Exp'!AC20-AG20+AI20-'Gov Fd BS'!O19+AK20</f>
        <v>0</v>
      </c>
    </row>
    <row r="21" spans="1:39" ht="12.75" hidden="1">
      <c r="A21" s="23" t="s">
        <v>173</v>
      </c>
      <c r="B21" s="23"/>
      <c r="C21" s="30">
        <v>0</v>
      </c>
      <c r="D21" s="30"/>
      <c r="E21" s="30">
        <v>0</v>
      </c>
      <c r="F21" s="30"/>
      <c r="G21" s="30">
        <v>0</v>
      </c>
      <c r="H21" s="30"/>
      <c r="I21" s="30">
        <v>0</v>
      </c>
      <c r="J21" s="30"/>
      <c r="K21" s="30">
        <v>0</v>
      </c>
      <c r="L21" s="30"/>
      <c r="M21" s="30">
        <v>0</v>
      </c>
      <c r="N21" s="30"/>
      <c r="O21" s="30">
        <v>0</v>
      </c>
      <c r="P21" s="30"/>
      <c r="Q21" s="30">
        <v>0</v>
      </c>
      <c r="R21" s="30"/>
      <c r="S21" s="30">
        <v>0</v>
      </c>
      <c r="T21" s="30"/>
      <c r="U21" s="30">
        <v>0</v>
      </c>
      <c r="V21" s="30"/>
      <c r="W21" s="30">
        <v>0</v>
      </c>
      <c r="X21" s="30"/>
      <c r="Y21" s="30">
        <v>0</v>
      </c>
      <c r="Z21" s="30"/>
      <c r="AA21" s="30">
        <v>0</v>
      </c>
      <c r="AB21" s="30"/>
      <c r="AC21" s="30">
        <f t="shared" si="0"/>
        <v>0</v>
      </c>
      <c r="AD21" s="30"/>
      <c r="AE21" s="103">
        <f t="shared" si="1"/>
        <v>0</v>
      </c>
      <c r="AF21" s="33"/>
      <c r="AG21" s="30">
        <v>0</v>
      </c>
      <c r="AH21" s="34"/>
      <c r="AI21" s="30">
        <v>0</v>
      </c>
      <c r="AJ21" s="34"/>
      <c r="AK21" s="30">
        <v>0</v>
      </c>
      <c r="AL21" s="34"/>
      <c r="AM21" s="34">
        <f>+'Gov Fd Rv'!Q21+'Gov Fd Rv'!S21-'Gov Fnd Exp'!AC21-AG21+AI21-'Gov Fd BS'!O20+AK21</f>
        <v>0</v>
      </c>
    </row>
    <row r="22" spans="1:39" ht="12.75">
      <c r="A22" s="32" t="s">
        <v>21</v>
      </c>
      <c r="B22" s="32"/>
      <c r="C22" s="30">
        <v>8485196</v>
      </c>
      <c r="D22" s="30"/>
      <c r="E22" s="30">
        <v>13850735</v>
      </c>
      <c r="F22" s="30"/>
      <c r="G22" s="30">
        <v>14754572</v>
      </c>
      <c r="H22" s="30"/>
      <c r="I22" s="30">
        <v>10694557</v>
      </c>
      <c r="J22" s="30"/>
      <c r="K22" s="30">
        <v>24369727</v>
      </c>
      <c r="L22" s="30"/>
      <c r="M22" s="30">
        <v>43323119</v>
      </c>
      <c r="N22" s="30"/>
      <c r="O22" s="30">
        <v>0</v>
      </c>
      <c r="P22" s="30"/>
      <c r="Q22" s="30">
        <v>1917985</v>
      </c>
      <c r="R22" s="30"/>
      <c r="S22" s="30">
        <v>0</v>
      </c>
      <c r="T22" s="30"/>
      <c r="U22" s="30">
        <v>9494640</v>
      </c>
      <c r="V22" s="30"/>
      <c r="W22" s="30">
        <v>0</v>
      </c>
      <c r="X22" s="30"/>
      <c r="Y22" s="30">
        <v>890000</v>
      </c>
      <c r="Z22" s="30"/>
      <c r="AA22" s="30">
        <v>742541</v>
      </c>
      <c r="AB22" s="30"/>
      <c r="AC22" s="30">
        <f t="shared" si="0"/>
        <v>128523072</v>
      </c>
      <c r="AD22" s="30"/>
      <c r="AE22" s="103">
        <f>SUM(C22:S22)</f>
        <v>117395891</v>
      </c>
      <c r="AF22" s="33"/>
      <c r="AG22" s="30">
        <f>26683528+136808</f>
        <v>26820336</v>
      </c>
      <c r="AH22" s="34"/>
      <c r="AI22" s="30">
        <v>23440338</v>
      </c>
      <c r="AJ22" s="34"/>
      <c r="AK22" s="30">
        <v>0</v>
      </c>
      <c r="AL22" s="34"/>
      <c r="AM22" s="34">
        <f>+'Gov Fd Rv'!Q22+'Gov Fd Rv'!S22-'Gov Fnd Exp'!AC22-AG22+AI22-'Gov Fd BS'!O21+AK22</f>
        <v>0</v>
      </c>
    </row>
    <row r="23" spans="1:39" ht="12.75">
      <c r="A23" s="32" t="s">
        <v>181</v>
      </c>
      <c r="B23" s="42"/>
      <c r="C23" s="30">
        <v>18414431</v>
      </c>
      <c r="D23" s="30"/>
      <c r="E23" s="30">
        <v>9832342</v>
      </c>
      <c r="F23" s="30"/>
      <c r="G23" s="30">
        <v>25815852</v>
      </c>
      <c r="H23" s="30"/>
      <c r="I23" s="30">
        <v>12808839</v>
      </c>
      <c r="J23" s="30"/>
      <c r="K23" s="30">
        <v>1209199</v>
      </c>
      <c r="L23" s="30"/>
      <c r="M23" s="30">
        <v>36206434</v>
      </c>
      <c r="N23" s="30"/>
      <c r="O23" s="30">
        <f>502272+1304138</f>
        <v>1806410</v>
      </c>
      <c r="P23" s="30"/>
      <c r="Q23" s="30">
        <v>0</v>
      </c>
      <c r="R23" s="30"/>
      <c r="S23" s="30">
        <v>2706592</v>
      </c>
      <c r="T23" s="30"/>
      <c r="U23" s="30">
        <v>4997639</v>
      </c>
      <c r="V23" s="30"/>
      <c r="W23" s="30">
        <v>962480</v>
      </c>
      <c r="X23" s="30"/>
      <c r="Y23" s="30">
        <v>4312941</v>
      </c>
      <c r="Z23" s="30"/>
      <c r="AA23" s="30">
        <v>1178318</v>
      </c>
      <c r="AB23" s="30"/>
      <c r="AC23" s="30">
        <f t="shared" si="0"/>
        <v>120251477</v>
      </c>
      <c r="AD23" s="30"/>
      <c r="AE23" s="103">
        <f t="shared" si="1"/>
        <v>108800099</v>
      </c>
      <c r="AF23" s="33"/>
      <c r="AG23" s="30">
        <f>7622575</f>
        <v>7622575</v>
      </c>
      <c r="AH23" s="34"/>
      <c r="AI23" s="30">
        <v>55382588</v>
      </c>
      <c r="AJ23" s="34"/>
      <c r="AK23" s="30">
        <v>0</v>
      </c>
      <c r="AL23" s="34"/>
      <c r="AM23" s="34">
        <f>+'Gov Fd Rv'!Q23+'Gov Fd Rv'!S23-'Gov Fnd Exp'!AC23-AG23+AI23-'Gov Fd BS'!O22+AK23</f>
        <v>0</v>
      </c>
    </row>
    <row r="24" spans="1:39" ht="12.75">
      <c r="A24" s="32" t="s">
        <v>22</v>
      </c>
      <c r="B24" s="32"/>
      <c r="C24" s="30">
        <v>5843426</v>
      </c>
      <c r="D24" s="30"/>
      <c r="E24" s="30">
        <v>2689004</v>
      </c>
      <c r="F24" s="30"/>
      <c r="G24" s="30">
        <v>4358691</v>
      </c>
      <c r="H24" s="30"/>
      <c r="I24" s="30">
        <v>6582936</v>
      </c>
      <c r="J24" s="30"/>
      <c r="K24" s="30">
        <v>4023548</v>
      </c>
      <c r="L24" s="30"/>
      <c r="M24" s="30">
        <v>8559399</v>
      </c>
      <c r="N24" s="30"/>
      <c r="O24" s="30">
        <v>349811</v>
      </c>
      <c r="P24" s="30"/>
      <c r="Q24" s="30">
        <v>34082</v>
      </c>
      <c r="R24" s="30"/>
      <c r="S24" s="30">
        <v>659860</v>
      </c>
      <c r="T24" s="30"/>
      <c r="U24" s="30">
        <v>3376198</v>
      </c>
      <c r="V24" s="30"/>
      <c r="W24" s="30">
        <v>0</v>
      </c>
      <c r="X24" s="30"/>
      <c r="Y24" s="30">
        <v>9587841</v>
      </c>
      <c r="Z24" s="30"/>
      <c r="AA24" s="30">
        <v>615415</v>
      </c>
      <c r="AB24" s="30"/>
      <c r="AC24" s="30">
        <f t="shared" si="0"/>
        <v>46680211</v>
      </c>
      <c r="AD24" s="30"/>
      <c r="AE24" s="103">
        <f t="shared" si="1"/>
        <v>33100757</v>
      </c>
      <c r="AF24" s="33"/>
      <c r="AG24" s="30">
        <f>1463091+1943814</f>
        <v>3406905</v>
      </c>
      <c r="AH24" s="34"/>
      <c r="AI24" s="30">
        <v>10562319</v>
      </c>
      <c r="AJ24" s="34"/>
      <c r="AK24" s="30">
        <v>0</v>
      </c>
      <c r="AL24" s="34"/>
      <c r="AM24" s="34">
        <f>+'Gov Fd Rv'!Q24+'Gov Fd Rv'!S24-'Gov Fnd Exp'!AC24-AG24+AI24-'Gov Fd BS'!O23+AK24</f>
        <v>0</v>
      </c>
    </row>
    <row r="25" spans="1:39" ht="12.75" hidden="1">
      <c r="A25" s="32" t="s">
        <v>23</v>
      </c>
      <c r="B25" s="32"/>
      <c r="C25" s="30">
        <v>0</v>
      </c>
      <c r="D25" s="30"/>
      <c r="E25" s="30">
        <v>0</v>
      </c>
      <c r="F25" s="30"/>
      <c r="G25" s="30">
        <v>0</v>
      </c>
      <c r="H25" s="30"/>
      <c r="I25" s="30">
        <v>0</v>
      </c>
      <c r="J25" s="30"/>
      <c r="K25" s="30">
        <v>0</v>
      </c>
      <c r="L25" s="30"/>
      <c r="M25" s="30">
        <v>0</v>
      </c>
      <c r="N25" s="30"/>
      <c r="O25" s="30">
        <v>0</v>
      </c>
      <c r="P25" s="30"/>
      <c r="Q25" s="30">
        <v>0</v>
      </c>
      <c r="R25" s="30"/>
      <c r="S25" s="30">
        <v>0</v>
      </c>
      <c r="T25" s="30"/>
      <c r="U25" s="30">
        <v>0</v>
      </c>
      <c r="V25" s="30"/>
      <c r="W25" s="30">
        <v>0</v>
      </c>
      <c r="X25" s="30"/>
      <c r="Y25" s="30">
        <v>0</v>
      </c>
      <c r="Z25" s="30"/>
      <c r="AA25" s="30">
        <v>0</v>
      </c>
      <c r="AB25" s="30"/>
      <c r="AC25" s="30">
        <f t="shared" si="0"/>
        <v>0</v>
      </c>
      <c r="AD25" s="30"/>
      <c r="AE25" s="103">
        <f t="shared" si="1"/>
        <v>0</v>
      </c>
      <c r="AF25" s="33"/>
      <c r="AG25" s="30">
        <v>0</v>
      </c>
      <c r="AH25" s="34"/>
      <c r="AI25" s="30">
        <v>0</v>
      </c>
      <c r="AJ25" s="34"/>
      <c r="AK25" s="30">
        <v>0</v>
      </c>
      <c r="AL25" s="34"/>
      <c r="AM25" s="34">
        <f>+'Gov Fd Rv'!Q25+'Gov Fd Rv'!S25-'Gov Fnd Exp'!AC25-AG25+AI25-'Gov Fd BS'!O24+AK25</f>
        <v>0</v>
      </c>
    </row>
    <row r="26" spans="1:39" ht="12.75">
      <c r="A26" s="32" t="s">
        <v>24</v>
      </c>
      <c r="B26" s="42"/>
      <c r="C26" s="30">
        <v>3743779</v>
      </c>
      <c r="D26" s="30"/>
      <c r="E26" s="30">
        <v>1537502</v>
      </c>
      <c r="F26" s="30"/>
      <c r="G26" s="30">
        <v>5290516</v>
      </c>
      <c r="H26" s="30"/>
      <c r="I26" s="30">
        <v>4201486</v>
      </c>
      <c r="J26" s="30"/>
      <c r="K26" s="30">
        <v>6152447</v>
      </c>
      <c r="L26" s="30"/>
      <c r="M26" s="30">
        <v>10939611</v>
      </c>
      <c r="N26" s="30"/>
      <c r="O26" s="30">
        <v>0</v>
      </c>
      <c r="P26" s="30"/>
      <c r="Q26" s="30">
        <v>413331</v>
      </c>
      <c r="R26" s="30"/>
      <c r="S26" s="30">
        <v>372193</v>
      </c>
      <c r="T26" s="30"/>
      <c r="U26" s="30">
        <v>66087</v>
      </c>
      <c r="V26" s="30"/>
      <c r="W26" s="30">
        <v>0</v>
      </c>
      <c r="X26" s="30"/>
      <c r="Y26" s="30">
        <v>426324</v>
      </c>
      <c r="Z26" s="30"/>
      <c r="AA26" s="30">
        <v>245997</v>
      </c>
      <c r="AB26" s="30"/>
      <c r="AC26" s="30">
        <f t="shared" si="0"/>
        <v>33389273</v>
      </c>
      <c r="AD26" s="30"/>
      <c r="AE26" s="103">
        <f t="shared" si="1"/>
        <v>32650865</v>
      </c>
      <c r="AF26" s="33"/>
      <c r="AG26" s="30">
        <v>287162</v>
      </c>
      <c r="AH26" s="34"/>
      <c r="AI26" s="30">
        <v>9301048</v>
      </c>
      <c r="AJ26" s="34"/>
      <c r="AK26" s="30">
        <v>0</v>
      </c>
      <c r="AL26" s="34"/>
      <c r="AM26" s="34">
        <f>+'Gov Fd Rv'!Q26+'Gov Fd Rv'!S26-'Gov Fnd Exp'!AC26-AG26+AI26-'Gov Fd BS'!O25+AK26</f>
        <v>0</v>
      </c>
    </row>
    <row r="27" spans="1:39" ht="12.75">
      <c r="A27" s="32" t="s">
        <v>243</v>
      </c>
      <c r="B27" s="32"/>
      <c r="C27" s="30">
        <v>3839018</v>
      </c>
      <c r="D27" s="30"/>
      <c r="E27" s="30">
        <v>2117820</v>
      </c>
      <c r="F27" s="30"/>
      <c r="G27" s="30">
        <v>5541432</v>
      </c>
      <c r="H27" s="30"/>
      <c r="I27" s="30">
        <v>3508568</v>
      </c>
      <c r="J27" s="30"/>
      <c r="K27" s="30">
        <v>4736142</v>
      </c>
      <c r="L27" s="30"/>
      <c r="M27" s="30">
        <v>12729864</v>
      </c>
      <c r="N27" s="30"/>
      <c r="O27" s="30">
        <v>61384</v>
      </c>
      <c r="P27" s="30"/>
      <c r="Q27" s="30">
        <v>0</v>
      </c>
      <c r="R27" s="30"/>
      <c r="S27" s="30">
        <v>0</v>
      </c>
      <c r="T27" s="30"/>
      <c r="U27" s="30">
        <v>225796</v>
      </c>
      <c r="V27" s="30"/>
      <c r="W27" s="30">
        <v>489447</v>
      </c>
      <c r="X27" s="30"/>
      <c r="Y27" s="30">
        <v>565000</v>
      </c>
      <c r="Z27" s="30"/>
      <c r="AA27" s="30">
        <f>267444+142133</f>
        <v>409577</v>
      </c>
      <c r="AB27" s="30"/>
      <c r="AC27" s="30">
        <f t="shared" si="0"/>
        <v>34224048</v>
      </c>
      <c r="AD27" s="30"/>
      <c r="AE27" s="103">
        <f t="shared" si="1"/>
        <v>32534228</v>
      </c>
      <c r="AF27" s="33"/>
      <c r="AG27" s="30">
        <f>6479187+2007204</f>
        <v>8486391</v>
      </c>
      <c r="AH27" s="34"/>
      <c r="AI27" s="30">
        <v>14355065</v>
      </c>
      <c r="AJ27" s="34"/>
      <c r="AK27" s="30">
        <v>0</v>
      </c>
      <c r="AL27" s="34"/>
      <c r="AM27" s="34">
        <f>+'Gov Fd Rv'!Q27+'Gov Fd Rv'!S27-'Gov Fnd Exp'!AC27-AG27+AI27-'Gov Fd BS'!O26+AK27</f>
        <v>0</v>
      </c>
    </row>
    <row r="28" spans="1:39" ht="12.75">
      <c r="A28" s="32" t="s">
        <v>25</v>
      </c>
      <c r="B28" s="32"/>
      <c r="C28" s="30">
        <f>72243*1000</f>
        <v>72243000</v>
      </c>
      <c r="D28" s="30"/>
      <c r="E28" s="30">
        <f>333442*1000</f>
        <v>333442000</v>
      </c>
      <c r="F28" s="30"/>
      <c r="G28" s="30">
        <v>0</v>
      </c>
      <c r="H28" s="30"/>
      <c r="I28" s="30">
        <f>54572*1000</f>
        <v>54572000</v>
      </c>
      <c r="J28" s="30"/>
      <c r="K28" s="30">
        <f>214081*1000</f>
        <v>214081000</v>
      </c>
      <c r="L28" s="30"/>
      <c r="M28" s="30">
        <f>652739*1000</f>
        <v>652739000</v>
      </c>
      <c r="N28" s="30"/>
      <c r="O28" s="30">
        <f>41959*1000</f>
        <v>41959000</v>
      </c>
      <c r="P28" s="30"/>
      <c r="Q28" s="30">
        <v>0</v>
      </c>
      <c r="R28" s="30"/>
      <c r="S28" s="30">
        <v>0</v>
      </c>
      <c r="T28" s="30"/>
      <c r="U28" s="30">
        <f>46554*1000</f>
        <v>46554000</v>
      </c>
      <c r="V28" s="30"/>
      <c r="W28" s="30">
        <v>0</v>
      </c>
      <c r="X28" s="30"/>
      <c r="Y28" s="30">
        <f>26041*1000</f>
        <v>26041000</v>
      </c>
      <c r="Z28" s="30"/>
      <c r="AA28" s="30">
        <f>13581*1000</f>
        <v>13581000</v>
      </c>
      <c r="AB28" s="30"/>
      <c r="AC28" s="30">
        <f t="shared" si="0"/>
        <v>1455212000</v>
      </c>
      <c r="AD28" s="30"/>
      <c r="AE28" s="103">
        <f t="shared" si="1"/>
        <v>1369036000</v>
      </c>
      <c r="AF28" s="33"/>
      <c r="AG28" s="30">
        <f>(7194+201180+51887)*1000</f>
        <v>260261000</v>
      </c>
      <c r="AH28" s="34"/>
      <c r="AI28" s="30">
        <f>390890*1000</f>
        <v>390890000</v>
      </c>
      <c r="AJ28" s="34"/>
      <c r="AK28" s="30">
        <v>0</v>
      </c>
      <c r="AL28" s="34"/>
      <c r="AM28" s="34">
        <f>+'Gov Fd Rv'!Q28+'Gov Fd Rv'!S28-'Gov Fnd Exp'!AC28-AG28+AI28-'Gov Fd BS'!O27+AK28</f>
        <v>0</v>
      </c>
    </row>
    <row r="29" spans="1:39" ht="12.75">
      <c r="A29" s="32" t="s">
        <v>26</v>
      </c>
      <c r="B29" s="32"/>
      <c r="C29" s="30">
        <v>7072983</v>
      </c>
      <c r="D29" s="30"/>
      <c r="E29" s="30">
        <v>0</v>
      </c>
      <c r="F29" s="30"/>
      <c r="G29" s="30">
        <v>4500552</v>
      </c>
      <c r="H29" s="30"/>
      <c r="I29" s="30">
        <v>5241384</v>
      </c>
      <c r="J29" s="30"/>
      <c r="K29" s="30">
        <v>222141</v>
      </c>
      <c r="L29" s="30"/>
      <c r="M29" s="30">
        <v>13868647</v>
      </c>
      <c r="N29" s="30"/>
      <c r="O29" s="30">
        <v>910984</v>
      </c>
      <c r="P29" s="30"/>
      <c r="Q29" s="30">
        <v>0</v>
      </c>
      <c r="R29" s="30"/>
      <c r="S29" s="30">
        <v>0</v>
      </c>
      <c r="T29" s="30"/>
      <c r="U29" s="30">
        <v>3102839</v>
      </c>
      <c r="V29" s="30"/>
      <c r="W29" s="30">
        <v>0</v>
      </c>
      <c r="X29" s="30"/>
      <c r="Y29" s="30">
        <v>133941</v>
      </c>
      <c r="Z29" s="30"/>
      <c r="AA29" s="30">
        <v>450512</v>
      </c>
      <c r="AB29" s="30"/>
      <c r="AC29" s="30">
        <f t="shared" si="0"/>
        <v>35503983</v>
      </c>
      <c r="AD29" s="30"/>
      <c r="AE29" s="103">
        <f t="shared" si="1"/>
        <v>31816691</v>
      </c>
      <c r="AF29" s="33"/>
      <c r="AG29" s="30">
        <v>3506208</v>
      </c>
      <c r="AH29" s="34"/>
      <c r="AI29" s="30">
        <f>13926982</f>
        <v>13926982</v>
      </c>
      <c r="AJ29" s="34"/>
      <c r="AK29" s="30">
        <v>17999</v>
      </c>
      <c r="AL29" s="34"/>
      <c r="AM29" s="34">
        <f>+'Gov Fd Rv'!Q29+'Gov Fd Rv'!S29-'Gov Fnd Exp'!AC29-AG29+AI29-'Gov Fd BS'!O28+AK29</f>
        <v>0</v>
      </c>
    </row>
    <row r="30" spans="1:39" ht="12.75">
      <c r="A30" s="32" t="s">
        <v>27</v>
      </c>
      <c r="B30" s="42"/>
      <c r="C30" s="30">
        <v>3715455</v>
      </c>
      <c r="D30" s="30"/>
      <c r="E30" s="30">
        <v>1570753</v>
      </c>
      <c r="F30" s="30"/>
      <c r="G30" s="30">
        <v>4013093</v>
      </c>
      <c r="H30" s="30"/>
      <c r="I30" s="30">
        <v>4680984</v>
      </c>
      <c r="J30" s="30"/>
      <c r="K30" s="30">
        <v>4613626</v>
      </c>
      <c r="L30" s="30"/>
      <c r="M30" s="30">
        <v>7001274</v>
      </c>
      <c r="N30" s="30"/>
      <c r="O30" s="30">
        <v>385181</v>
      </c>
      <c r="P30" s="30"/>
      <c r="Q30" s="30">
        <v>0</v>
      </c>
      <c r="R30" s="30"/>
      <c r="S30" s="30">
        <v>1738148</v>
      </c>
      <c r="T30" s="30"/>
      <c r="U30" s="30">
        <v>1365532</v>
      </c>
      <c r="V30" s="30"/>
      <c r="W30" s="30">
        <v>0</v>
      </c>
      <c r="X30" s="30"/>
      <c r="Y30" s="30">
        <v>2192821</v>
      </c>
      <c r="Z30" s="30"/>
      <c r="AA30" s="30">
        <v>259412</v>
      </c>
      <c r="AB30" s="30"/>
      <c r="AC30" s="30">
        <f aca="true" t="shared" si="2" ref="AC30:AC94">SUM(C30:AA30)</f>
        <v>31536279</v>
      </c>
      <c r="AD30" s="30"/>
      <c r="AE30" s="103">
        <f aca="true" t="shared" si="3" ref="AE30:AE94">SUM(C30:S30)</f>
        <v>27718514</v>
      </c>
      <c r="AF30" s="33"/>
      <c r="AG30" s="30">
        <v>4463360</v>
      </c>
      <c r="AH30" s="34"/>
      <c r="AI30" s="30">
        <v>24198482</v>
      </c>
      <c r="AJ30" s="34"/>
      <c r="AK30" s="30">
        <v>0</v>
      </c>
      <c r="AL30" s="34"/>
      <c r="AM30" s="34">
        <f>+'Gov Fd Rv'!Q30+'Gov Fd Rv'!S30-'Gov Fnd Exp'!AC30-AG30+AI30-'Gov Fd BS'!O29+AK30</f>
        <v>0</v>
      </c>
    </row>
    <row r="31" spans="1:39" ht="12.75">
      <c r="A31" s="32" t="s">
        <v>28</v>
      </c>
      <c r="B31" s="32"/>
      <c r="C31" s="30">
        <v>14878317</v>
      </c>
      <c r="D31" s="30"/>
      <c r="E31" s="30">
        <v>7270263</v>
      </c>
      <c r="F31" s="30"/>
      <c r="G31" s="30">
        <v>28734249</v>
      </c>
      <c r="H31" s="30"/>
      <c r="I31" s="30">
        <v>15543959</v>
      </c>
      <c r="J31" s="30"/>
      <c r="K31" s="30">
        <v>14199378</v>
      </c>
      <c r="L31" s="30"/>
      <c r="M31" s="30">
        <v>12260067</v>
      </c>
      <c r="N31" s="30"/>
      <c r="O31" s="30">
        <v>0</v>
      </c>
      <c r="P31" s="30"/>
      <c r="Q31" s="30">
        <v>0</v>
      </c>
      <c r="R31" s="30"/>
      <c r="S31" s="30">
        <v>0</v>
      </c>
      <c r="T31" s="30"/>
      <c r="U31" s="30">
        <v>9723547</v>
      </c>
      <c r="V31" s="30"/>
      <c r="W31" s="30">
        <f>5000+275000+342800</f>
        <v>622800</v>
      </c>
      <c r="X31" s="30"/>
      <c r="Y31" s="30">
        <v>2905000</v>
      </c>
      <c r="Z31" s="30"/>
      <c r="AA31" s="30">
        <f>2006133+129548</f>
        <v>2135681</v>
      </c>
      <c r="AB31" s="30"/>
      <c r="AC31" s="30">
        <f t="shared" si="2"/>
        <v>108273261</v>
      </c>
      <c r="AD31" s="30"/>
      <c r="AE31" s="103">
        <f t="shared" si="3"/>
        <v>92886233</v>
      </c>
      <c r="AF31" s="33"/>
      <c r="AG31" s="30">
        <v>12342785</v>
      </c>
      <c r="AH31" s="34"/>
      <c r="AI31" s="30">
        <v>76115902</v>
      </c>
      <c r="AJ31" s="34"/>
      <c r="AK31" s="30">
        <v>0</v>
      </c>
      <c r="AL31" s="34"/>
      <c r="AM31" s="34">
        <f>+'Gov Fd Rv'!Q31+'Gov Fd Rv'!S31-'Gov Fnd Exp'!AC31-AG31+AI31-'Gov Fd BS'!O30+AK31</f>
        <v>0</v>
      </c>
    </row>
    <row r="32" spans="1:39" ht="12.75">
      <c r="A32" s="32" t="s">
        <v>29</v>
      </c>
      <c r="B32" s="32"/>
      <c r="C32" s="30">
        <v>12745602</v>
      </c>
      <c r="D32" s="30"/>
      <c r="E32" s="30">
        <v>7048488</v>
      </c>
      <c r="F32" s="30"/>
      <c r="G32" s="30">
        <v>10442751</v>
      </c>
      <c r="H32" s="30"/>
      <c r="I32" s="30">
        <v>7350728</v>
      </c>
      <c r="J32" s="30"/>
      <c r="K32" s="30">
        <v>8332987</v>
      </c>
      <c r="L32" s="30"/>
      <c r="M32" s="30">
        <v>15755714</v>
      </c>
      <c r="N32" s="30"/>
      <c r="O32" s="30">
        <v>634121</v>
      </c>
      <c r="P32" s="30"/>
      <c r="Q32" s="30">
        <v>0</v>
      </c>
      <c r="R32" s="30"/>
      <c r="S32" s="30">
        <v>380565</v>
      </c>
      <c r="T32" s="30"/>
      <c r="U32" s="30">
        <v>1357830</v>
      </c>
      <c r="V32" s="30"/>
      <c r="W32" s="30">
        <v>0</v>
      </c>
      <c r="X32" s="30"/>
      <c r="Y32" s="30">
        <v>24591432</v>
      </c>
      <c r="Z32" s="30"/>
      <c r="AA32" s="30">
        <f>885144+172111</f>
        <v>1057255</v>
      </c>
      <c r="AB32" s="30"/>
      <c r="AC32" s="30">
        <f t="shared" si="2"/>
        <v>89697473</v>
      </c>
      <c r="AD32" s="30"/>
      <c r="AE32" s="103">
        <f t="shared" si="3"/>
        <v>62690956</v>
      </c>
      <c r="AF32" s="33"/>
      <c r="AG32" s="30">
        <v>5393933</v>
      </c>
      <c r="AH32" s="34"/>
      <c r="AI32" s="30">
        <v>26018341</v>
      </c>
      <c r="AJ32" s="34"/>
      <c r="AK32" s="30">
        <v>35672</v>
      </c>
      <c r="AL32" s="34"/>
      <c r="AM32" s="34">
        <f>+'Gov Fd Rv'!Q32+'Gov Fd Rv'!S32-'Gov Fnd Exp'!AC32-AG32+AI32-'Gov Fd BS'!O31+AK32</f>
        <v>0</v>
      </c>
    </row>
    <row r="33" spans="1:39" ht="12.75">
      <c r="A33" s="32" t="s">
        <v>30</v>
      </c>
      <c r="B33" s="32"/>
      <c r="C33" s="30">
        <v>9870745</v>
      </c>
      <c r="D33" s="30"/>
      <c r="E33" s="30">
        <v>5090548</v>
      </c>
      <c r="F33" s="30"/>
      <c r="G33" s="30">
        <v>13224689</v>
      </c>
      <c r="H33" s="30"/>
      <c r="I33" s="30">
        <v>7747435</v>
      </c>
      <c r="J33" s="30"/>
      <c r="K33" s="30">
        <v>22670081</v>
      </c>
      <c r="L33" s="30"/>
      <c r="M33" s="30">
        <v>25401495</v>
      </c>
      <c r="N33" s="30"/>
      <c r="O33" s="30">
        <v>309404</v>
      </c>
      <c r="P33" s="30"/>
      <c r="Q33" s="30">
        <v>0</v>
      </c>
      <c r="R33" s="30"/>
      <c r="S33" s="30">
        <f>110308+250919</f>
        <v>361227</v>
      </c>
      <c r="T33" s="30"/>
      <c r="U33" s="30">
        <v>3915713</v>
      </c>
      <c r="V33" s="30"/>
      <c r="W33" s="30">
        <v>2099914</v>
      </c>
      <c r="X33" s="30"/>
      <c r="Y33" s="30">
        <v>1670628</v>
      </c>
      <c r="Z33" s="30"/>
      <c r="AA33" s="30">
        <v>1091222</v>
      </c>
      <c r="AB33" s="30"/>
      <c r="AC33" s="30">
        <f t="shared" si="2"/>
        <v>93453101</v>
      </c>
      <c r="AD33" s="30"/>
      <c r="AE33" s="103">
        <f t="shared" si="3"/>
        <v>84675624</v>
      </c>
      <c r="AF33" s="33"/>
      <c r="AG33" s="30">
        <f>1000000+5997333</f>
        <v>6997333</v>
      </c>
      <c r="AH33" s="34"/>
      <c r="AI33" s="30">
        <v>44440977</v>
      </c>
      <c r="AJ33" s="34"/>
      <c r="AK33" s="30">
        <v>0</v>
      </c>
      <c r="AL33" s="34"/>
      <c r="AM33" s="34">
        <f>+'Gov Fd Rv'!Q33+'Gov Fd Rv'!S33-'Gov Fnd Exp'!AC33-AG33+AI33-'Gov Fd BS'!O32+AK33</f>
        <v>0</v>
      </c>
    </row>
    <row r="34" spans="1:39" ht="12.75" hidden="1">
      <c r="A34" s="32" t="s">
        <v>239</v>
      </c>
      <c r="B34" s="32"/>
      <c r="C34" s="30">
        <v>0</v>
      </c>
      <c r="D34" s="30"/>
      <c r="E34" s="30">
        <v>0</v>
      </c>
      <c r="F34" s="30"/>
      <c r="G34" s="30">
        <v>0</v>
      </c>
      <c r="H34" s="30"/>
      <c r="I34" s="30">
        <v>0</v>
      </c>
      <c r="J34" s="30"/>
      <c r="K34" s="30">
        <v>0</v>
      </c>
      <c r="L34" s="30"/>
      <c r="M34" s="30">
        <v>0</v>
      </c>
      <c r="N34" s="30"/>
      <c r="O34" s="30">
        <v>0</v>
      </c>
      <c r="P34" s="30"/>
      <c r="Q34" s="30">
        <v>0</v>
      </c>
      <c r="R34" s="30"/>
      <c r="S34" s="30">
        <v>0</v>
      </c>
      <c r="T34" s="30"/>
      <c r="U34" s="30">
        <v>0</v>
      </c>
      <c r="V34" s="30"/>
      <c r="W34" s="30">
        <v>0</v>
      </c>
      <c r="X34" s="30"/>
      <c r="Y34" s="30">
        <v>0</v>
      </c>
      <c r="Z34" s="30"/>
      <c r="AA34" s="30">
        <v>0</v>
      </c>
      <c r="AB34" s="30"/>
      <c r="AC34" s="30">
        <f t="shared" si="2"/>
        <v>0</v>
      </c>
      <c r="AD34" s="30"/>
      <c r="AE34" s="103">
        <f t="shared" si="3"/>
        <v>0</v>
      </c>
      <c r="AF34" s="33"/>
      <c r="AG34" s="30">
        <v>0</v>
      </c>
      <c r="AH34" s="34"/>
      <c r="AI34" s="30">
        <v>0</v>
      </c>
      <c r="AJ34" s="34"/>
      <c r="AK34" s="30">
        <v>0</v>
      </c>
      <c r="AL34" s="34"/>
      <c r="AM34" s="34">
        <f>+'Gov Fd Rv'!Q34+'Gov Fd Rv'!S34-'Gov Fnd Exp'!AC34-AG34+AI34-'Gov Fd BS'!O33+AK34</f>
        <v>0</v>
      </c>
    </row>
    <row r="35" spans="1:39" ht="12.75">
      <c r="A35" s="32" t="s">
        <v>32</v>
      </c>
      <c r="B35" s="32"/>
      <c r="C35" s="30">
        <f>96815*1000</f>
        <v>96815000</v>
      </c>
      <c r="D35" s="30"/>
      <c r="E35" s="30">
        <f>66807*1000</f>
        <v>66807000</v>
      </c>
      <c r="F35" s="30"/>
      <c r="G35" s="30">
        <f>121971*1000</f>
        <v>121971000</v>
      </c>
      <c r="H35" s="30"/>
      <c r="I35" s="30">
        <f>51738*1000</f>
        <v>51738000</v>
      </c>
      <c r="J35" s="30"/>
      <c r="K35" s="30">
        <f>302713*1000</f>
        <v>302713000</v>
      </c>
      <c r="L35" s="30"/>
      <c r="M35" s="30">
        <f>374442*1000</f>
        <v>374442000</v>
      </c>
      <c r="N35" s="30"/>
      <c r="O35" s="30">
        <f>4278*1000</f>
        <v>4278000</v>
      </c>
      <c r="P35" s="30"/>
      <c r="Q35" s="30">
        <f>19441*1000</f>
        <v>19441000</v>
      </c>
      <c r="R35" s="30"/>
      <c r="S35" s="30">
        <v>0</v>
      </c>
      <c r="T35" s="30"/>
      <c r="U35" s="30">
        <f>17250*1000</f>
        <v>17250000</v>
      </c>
      <c r="V35" s="30"/>
      <c r="W35" s="30">
        <f>14021*1000</f>
        <v>14021000</v>
      </c>
      <c r="X35" s="30"/>
      <c r="Y35" s="30">
        <f>9792*1000</f>
        <v>9792000</v>
      </c>
      <c r="Z35" s="30"/>
      <c r="AA35" s="30">
        <f>(9084+1170)*1000</f>
        <v>10254000</v>
      </c>
      <c r="AB35" s="30"/>
      <c r="AC35" s="30">
        <f t="shared" si="2"/>
        <v>1089522000</v>
      </c>
      <c r="AD35" s="30"/>
      <c r="AE35" s="103">
        <f t="shared" si="3"/>
        <v>1038205000</v>
      </c>
      <c r="AF35" s="33"/>
      <c r="AG35" s="30">
        <f>(27930+105)*1000</f>
        <v>28035000</v>
      </c>
      <c r="AH35" s="34"/>
      <c r="AI35" s="30">
        <f>474453*1000</f>
        <v>474453000</v>
      </c>
      <c r="AJ35" s="34"/>
      <c r="AK35" s="30">
        <v>0</v>
      </c>
      <c r="AL35" s="34"/>
      <c r="AM35" s="34">
        <f>+'Gov Fd Rv'!Q35+'Gov Fd Rv'!S35-'Gov Fnd Exp'!AC35-AG35+AI35-'Gov Fd BS'!O34+AK35</f>
        <v>0</v>
      </c>
    </row>
    <row r="36" spans="1:39" ht="12.75">
      <c r="A36" s="32" t="s">
        <v>33</v>
      </c>
      <c r="B36" s="32"/>
      <c r="C36" s="30">
        <v>5572711</v>
      </c>
      <c r="D36" s="30"/>
      <c r="E36" s="30">
        <v>1625379</v>
      </c>
      <c r="F36" s="30"/>
      <c r="G36" s="30">
        <v>6375337</v>
      </c>
      <c r="H36" s="30"/>
      <c r="I36" s="30">
        <v>5523541</v>
      </c>
      <c r="J36" s="30"/>
      <c r="K36" s="30">
        <v>1184025</v>
      </c>
      <c r="L36" s="30"/>
      <c r="M36" s="30">
        <v>10000622</v>
      </c>
      <c r="N36" s="30"/>
      <c r="O36" s="30">
        <v>1097657</v>
      </c>
      <c r="P36" s="30"/>
      <c r="Q36" s="30">
        <v>0</v>
      </c>
      <c r="R36" s="30"/>
      <c r="S36" s="30">
        <v>22806</v>
      </c>
      <c r="T36" s="30"/>
      <c r="U36" s="30">
        <v>1751847</v>
      </c>
      <c r="V36" s="30"/>
      <c r="W36" s="30">
        <v>996963</v>
      </c>
      <c r="X36" s="30"/>
      <c r="Y36" s="30">
        <v>242341</v>
      </c>
      <c r="Z36" s="30"/>
      <c r="AA36" s="30">
        <v>68765</v>
      </c>
      <c r="AB36" s="30"/>
      <c r="AC36" s="30">
        <f t="shared" si="2"/>
        <v>34461994</v>
      </c>
      <c r="AD36" s="30"/>
      <c r="AE36" s="103">
        <f t="shared" si="3"/>
        <v>31402078</v>
      </c>
      <c r="AF36" s="33"/>
      <c r="AG36" s="30">
        <v>342711</v>
      </c>
      <c r="AH36" s="34"/>
      <c r="AI36" s="30">
        <v>18712605</v>
      </c>
      <c r="AJ36" s="34"/>
      <c r="AK36" s="30">
        <v>0</v>
      </c>
      <c r="AL36" s="34"/>
      <c r="AM36" s="34">
        <f>+'Gov Fd Rv'!Q36+'Gov Fd Rv'!S36-'Gov Fnd Exp'!AC36-AG36+AI36-'Gov Fd BS'!O35+AK36</f>
        <v>0</v>
      </c>
    </row>
    <row r="37" spans="1:39" ht="12.75">
      <c r="A37" s="32" t="s">
        <v>34</v>
      </c>
      <c r="B37" s="32"/>
      <c r="C37" s="30">
        <v>3231761</v>
      </c>
      <c r="D37" s="30"/>
      <c r="E37" s="30">
        <v>1330667</v>
      </c>
      <c r="F37" s="30"/>
      <c r="G37" s="30">
        <v>4600295</v>
      </c>
      <c r="H37" s="30"/>
      <c r="I37" s="30">
        <v>4939825</v>
      </c>
      <c r="J37" s="30"/>
      <c r="K37" s="30">
        <v>2573717</v>
      </c>
      <c r="L37" s="30"/>
      <c r="M37" s="30">
        <v>9749567</v>
      </c>
      <c r="N37" s="30"/>
      <c r="O37" s="30">
        <v>490502</v>
      </c>
      <c r="P37" s="30"/>
      <c r="Q37" s="30">
        <v>116793</v>
      </c>
      <c r="R37" s="30"/>
      <c r="S37" s="30">
        <v>436655</v>
      </c>
      <c r="T37" s="30"/>
      <c r="U37" s="30">
        <v>3834329</v>
      </c>
      <c r="V37" s="30"/>
      <c r="W37" s="30">
        <v>0</v>
      </c>
      <c r="X37" s="30"/>
      <c r="Y37" s="30">
        <v>285655</v>
      </c>
      <c r="Z37" s="30"/>
      <c r="AA37" s="30">
        <v>115328</v>
      </c>
      <c r="AB37" s="30"/>
      <c r="AC37" s="30">
        <f t="shared" si="2"/>
        <v>31705094</v>
      </c>
      <c r="AD37" s="30"/>
      <c r="AE37" s="103">
        <f t="shared" si="3"/>
        <v>27469782</v>
      </c>
      <c r="AF37" s="33"/>
      <c r="AG37" s="30">
        <v>920538</v>
      </c>
      <c r="AH37" s="34"/>
      <c r="AI37" s="30">
        <v>8452658</v>
      </c>
      <c r="AJ37" s="34"/>
      <c r="AK37" s="30">
        <v>0</v>
      </c>
      <c r="AL37" s="34"/>
      <c r="AM37" s="34">
        <f>+'Gov Fd Rv'!Q37+'Gov Fd Rv'!S37-'Gov Fnd Exp'!AC37-AG37+AI37-'Gov Fd BS'!O36+AK37</f>
        <v>0</v>
      </c>
    </row>
    <row r="38" spans="1:39" ht="12.75">
      <c r="A38" s="32" t="s">
        <v>35</v>
      </c>
      <c r="B38" s="32"/>
      <c r="C38" s="30">
        <v>12330274</v>
      </c>
      <c r="D38" s="30"/>
      <c r="E38" s="30">
        <v>3665449</v>
      </c>
      <c r="F38" s="30"/>
      <c r="G38" s="30">
        <v>12605108</v>
      </c>
      <c r="H38" s="30"/>
      <c r="I38" s="30">
        <v>6687762</v>
      </c>
      <c r="J38" s="30"/>
      <c r="K38" s="30">
        <v>7497217</v>
      </c>
      <c r="L38" s="30"/>
      <c r="M38" s="30">
        <v>30337740</v>
      </c>
      <c r="N38" s="30"/>
      <c r="O38" s="30">
        <v>1521997</v>
      </c>
      <c r="P38" s="30"/>
      <c r="Q38" s="30">
        <v>0</v>
      </c>
      <c r="R38" s="30"/>
      <c r="S38" s="30">
        <v>0</v>
      </c>
      <c r="T38" s="30"/>
      <c r="U38" s="30">
        <v>7471473</v>
      </c>
      <c r="V38" s="30"/>
      <c r="W38" s="30">
        <v>0</v>
      </c>
      <c r="X38" s="30"/>
      <c r="Y38" s="30">
        <v>528024</v>
      </c>
      <c r="Z38" s="30"/>
      <c r="AA38" s="30">
        <f>200000+637197</f>
        <v>837197</v>
      </c>
      <c r="AB38" s="30"/>
      <c r="AC38" s="30">
        <f t="shared" si="2"/>
        <v>83482241</v>
      </c>
      <c r="AD38" s="30"/>
      <c r="AE38" s="103">
        <f t="shared" si="3"/>
        <v>74645547</v>
      </c>
      <c r="AF38" s="33"/>
      <c r="AG38" s="30">
        <f>200000+7117299</f>
        <v>7317299</v>
      </c>
      <c r="AH38" s="34"/>
      <c r="AI38" s="30">
        <v>27108798</v>
      </c>
      <c r="AJ38" s="34"/>
      <c r="AK38" s="30">
        <v>0</v>
      </c>
      <c r="AL38" s="34"/>
      <c r="AM38" s="34">
        <f>+'Gov Fd Rv'!Q38+'Gov Fd Rv'!S38-'Gov Fnd Exp'!AC38-AG38+AI38-'Gov Fd BS'!O37+AK38</f>
        <v>0</v>
      </c>
    </row>
    <row r="39" spans="1:39" ht="12.75">
      <c r="A39" s="32" t="s">
        <v>182</v>
      </c>
      <c r="B39" s="32"/>
      <c r="C39" s="30">
        <v>17670479</v>
      </c>
      <c r="D39" s="30"/>
      <c r="E39" s="30">
        <v>7711239</v>
      </c>
      <c r="F39" s="30"/>
      <c r="G39" s="30">
        <v>20820751</v>
      </c>
      <c r="H39" s="30"/>
      <c r="I39" s="30">
        <v>9849589</v>
      </c>
      <c r="J39" s="30"/>
      <c r="K39" s="30">
        <v>18293085</v>
      </c>
      <c r="L39" s="30"/>
      <c r="M39" s="30">
        <v>33726969</v>
      </c>
      <c r="N39" s="30"/>
      <c r="O39" s="30">
        <v>1636908</v>
      </c>
      <c r="P39" s="30"/>
      <c r="Q39" s="30">
        <v>2945338</v>
      </c>
      <c r="R39" s="30"/>
      <c r="S39" s="30">
        <v>0</v>
      </c>
      <c r="T39" s="30"/>
      <c r="U39" s="30">
        <v>500356</v>
      </c>
      <c r="V39" s="30"/>
      <c r="W39" s="30">
        <v>0</v>
      </c>
      <c r="X39" s="30"/>
      <c r="Y39" s="30">
        <v>2245000</v>
      </c>
      <c r="Z39" s="30"/>
      <c r="AA39" s="30">
        <v>2634100</v>
      </c>
      <c r="AB39" s="30"/>
      <c r="AC39" s="30">
        <f t="shared" si="2"/>
        <v>118033814</v>
      </c>
      <c r="AD39" s="30"/>
      <c r="AE39" s="103">
        <f t="shared" si="3"/>
        <v>112654358</v>
      </c>
      <c r="AF39" s="33"/>
      <c r="AG39" s="30">
        <f>10377898+3192819</f>
        <v>13570717</v>
      </c>
      <c r="AH39" s="34"/>
      <c r="AI39" s="30">
        <v>35033250</v>
      </c>
      <c r="AJ39" s="34"/>
      <c r="AK39" s="30">
        <v>0</v>
      </c>
      <c r="AL39" s="34"/>
      <c r="AM39" s="34">
        <f>+'Gov Fd Rv'!Q39+'Gov Fd Rv'!S39-'Gov Fnd Exp'!AC39-AG39+AI39-'Gov Fd BS'!O38+AK39</f>
        <v>-4157622</v>
      </c>
    </row>
    <row r="40" spans="1:39" ht="12.75" hidden="1">
      <c r="A40" s="32" t="s">
        <v>244</v>
      </c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>
        <f t="shared" si="2"/>
        <v>0</v>
      </c>
      <c r="AD40" s="30"/>
      <c r="AE40" s="103">
        <f t="shared" si="3"/>
        <v>0</v>
      </c>
      <c r="AF40" s="33"/>
      <c r="AG40" s="30"/>
      <c r="AH40" s="34"/>
      <c r="AI40" s="30"/>
      <c r="AJ40" s="34"/>
      <c r="AK40" s="30"/>
      <c r="AL40" s="34"/>
      <c r="AM40" s="34">
        <f>+'Gov Fd Rv'!Q40+'Gov Fd Rv'!S40-'Gov Fnd Exp'!AC40-AG40+AI40-'Gov Fd BS'!O39+AK40</f>
        <v>0</v>
      </c>
    </row>
    <row r="41" spans="1:39" ht="12.75">
      <c r="A41" s="32" t="s">
        <v>37</v>
      </c>
      <c r="B41" s="32"/>
      <c r="C41" s="30">
        <v>72074000</v>
      </c>
      <c r="D41" s="30"/>
      <c r="E41" s="30">
        <v>121535000</v>
      </c>
      <c r="F41" s="30"/>
      <c r="G41" s="30">
        <v>121060000</v>
      </c>
      <c r="H41" s="30"/>
      <c r="I41" s="30">
        <v>34056000</v>
      </c>
      <c r="J41" s="30"/>
      <c r="K41" s="30">
        <v>240811000</v>
      </c>
      <c r="L41" s="30"/>
      <c r="M41" s="30">
        <v>352722000</v>
      </c>
      <c r="N41" s="30"/>
      <c r="O41" s="30">
        <v>6175000</v>
      </c>
      <c r="P41" s="30"/>
      <c r="Q41" s="30">
        <f>6028000+7604000</f>
        <v>13632000</v>
      </c>
      <c r="R41" s="30"/>
      <c r="S41" s="30"/>
      <c r="T41" s="30"/>
      <c r="U41" s="30">
        <v>2083000</v>
      </c>
      <c r="V41" s="30"/>
      <c r="W41" s="30"/>
      <c r="X41" s="30"/>
      <c r="Y41" s="30">
        <v>12779000</v>
      </c>
      <c r="Z41" s="30"/>
      <c r="AA41" s="30">
        <f>4741000+225000+64000</f>
        <v>5030000</v>
      </c>
      <c r="AB41" s="30"/>
      <c r="AC41" s="30">
        <f t="shared" si="2"/>
        <v>981957000</v>
      </c>
      <c r="AD41" s="30"/>
      <c r="AE41" s="103">
        <f t="shared" si="3"/>
        <v>962065000</v>
      </c>
      <c r="AF41" s="33"/>
      <c r="AG41" s="30">
        <f>27464000+18104000+278000</f>
        <v>45846000</v>
      </c>
      <c r="AH41" s="34"/>
      <c r="AI41" s="30">
        <v>202437000</v>
      </c>
      <c r="AJ41" s="34"/>
      <c r="AK41" s="30"/>
      <c r="AL41" s="34"/>
      <c r="AM41" s="34">
        <f>+'Gov Fd Rv'!Q41+'Gov Fd Rv'!S41-'Gov Fnd Exp'!AC41-AG41+AI41-'Gov Fd BS'!O40+AK41</f>
        <v>0</v>
      </c>
    </row>
    <row r="42" spans="1:39" ht="12.75">
      <c r="A42" s="32" t="s">
        <v>38</v>
      </c>
      <c r="B42" s="32"/>
      <c r="C42" s="30">
        <v>6916837</v>
      </c>
      <c r="D42" s="30"/>
      <c r="E42" s="30">
        <v>3354376</v>
      </c>
      <c r="F42" s="30"/>
      <c r="G42" s="30">
        <v>7417823</v>
      </c>
      <c r="H42" s="30"/>
      <c r="I42" s="30">
        <v>5052443</v>
      </c>
      <c r="J42" s="30"/>
      <c r="K42" s="30">
        <v>18076247</v>
      </c>
      <c r="L42" s="30"/>
      <c r="M42" s="30">
        <v>11297212</v>
      </c>
      <c r="N42" s="30"/>
      <c r="O42" s="30">
        <v>291615</v>
      </c>
      <c r="P42" s="30"/>
      <c r="Q42" s="30">
        <v>0</v>
      </c>
      <c r="R42" s="30"/>
      <c r="S42" s="30">
        <v>0</v>
      </c>
      <c r="T42" s="30"/>
      <c r="U42" s="30">
        <v>3573661</v>
      </c>
      <c r="V42" s="30"/>
      <c r="W42" s="30">
        <v>426057</v>
      </c>
      <c r="X42" s="30"/>
      <c r="Y42" s="30">
        <v>1191248</v>
      </c>
      <c r="Z42" s="30"/>
      <c r="AA42" s="30">
        <f>698505+100026</f>
        <v>798531</v>
      </c>
      <c r="AB42" s="30"/>
      <c r="AC42" s="30">
        <f t="shared" si="2"/>
        <v>58396050</v>
      </c>
      <c r="AD42" s="30"/>
      <c r="AE42" s="103">
        <f t="shared" si="3"/>
        <v>52406553</v>
      </c>
      <c r="AF42" s="33"/>
      <c r="AG42" s="30">
        <v>1638920</v>
      </c>
      <c r="AH42" s="34"/>
      <c r="AI42" s="30">
        <v>15257637</v>
      </c>
      <c r="AJ42" s="34"/>
      <c r="AK42" s="30">
        <v>0</v>
      </c>
      <c r="AL42" s="34"/>
      <c r="AM42" s="34">
        <f>+'Gov Fd Rv'!Q42+'Gov Fd Rv'!S42-'Gov Fnd Exp'!AC42-AG42+AI42-'Gov Fd BS'!O41+AK42</f>
        <v>0</v>
      </c>
    </row>
    <row r="43" spans="1:39" ht="12.75" hidden="1">
      <c r="A43" s="32" t="s">
        <v>169</v>
      </c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>
        <f t="shared" si="2"/>
        <v>0</v>
      </c>
      <c r="AD43" s="30"/>
      <c r="AE43" s="103">
        <f t="shared" si="3"/>
        <v>0</v>
      </c>
      <c r="AF43" s="33"/>
      <c r="AG43" s="30"/>
      <c r="AH43" s="34"/>
      <c r="AI43" s="30"/>
      <c r="AJ43" s="34"/>
      <c r="AK43" s="30"/>
      <c r="AL43" s="34"/>
      <c r="AM43" s="34">
        <f>+'Gov Fd Rv'!Q43+'Gov Fd Rv'!S43-'Gov Fnd Exp'!AC43-AG43+AI43-'Gov Fd BS'!O42+AK43</f>
        <v>0</v>
      </c>
    </row>
    <row r="44" spans="1:39" ht="12.75" hidden="1">
      <c r="A44" s="32" t="s">
        <v>39</v>
      </c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>
        <f t="shared" si="2"/>
        <v>0</v>
      </c>
      <c r="AD44" s="30"/>
      <c r="AE44" s="103">
        <f t="shared" si="3"/>
        <v>0</v>
      </c>
      <c r="AF44" s="33"/>
      <c r="AG44" s="30"/>
      <c r="AH44" s="34"/>
      <c r="AI44" s="30"/>
      <c r="AJ44" s="34"/>
      <c r="AK44" s="30"/>
      <c r="AL44" s="34"/>
      <c r="AM44" s="34">
        <f>+'Gov Fd Rv'!Q44+'Gov Fd Rv'!S44-'Gov Fnd Exp'!AC44-AG44+AI44-'Gov Fd BS'!O43+AK44</f>
        <v>0</v>
      </c>
    </row>
    <row r="45" spans="1:39" ht="12.75">
      <c r="A45" s="32" t="s">
        <v>40</v>
      </c>
      <c r="B45" s="32"/>
      <c r="C45" s="30">
        <v>2391716</v>
      </c>
      <c r="D45" s="30"/>
      <c r="E45" s="30">
        <v>1089518</v>
      </c>
      <c r="F45" s="30"/>
      <c r="G45" s="30">
        <v>2348163</v>
      </c>
      <c r="H45" s="30"/>
      <c r="I45" s="30">
        <v>4552860</v>
      </c>
      <c r="J45" s="30"/>
      <c r="K45" s="30">
        <v>1805781</v>
      </c>
      <c r="L45" s="30"/>
      <c r="M45" s="30">
        <v>10695911</v>
      </c>
      <c r="N45" s="30"/>
      <c r="O45" s="30">
        <v>367804</v>
      </c>
      <c r="P45" s="30"/>
      <c r="Q45" s="30">
        <v>0</v>
      </c>
      <c r="R45" s="30"/>
      <c r="S45" s="30">
        <f>422741+671039</f>
        <v>1093780</v>
      </c>
      <c r="T45" s="30"/>
      <c r="U45" s="30">
        <v>565267</v>
      </c>
      <c r="V45" s="30"/>
      <c r="W45" s="30">
        <v>0</v>
      </c>
      <c r="X45" s="30"/>
      <c r="Y45" s="30">
        <v>3399821</v>
      </c>
      <c r="Z45" s="30"/>
      <c r="AA45" s="30">
        <v>161916</v>
      </c>
      <c r="AB45" s="30"/>
      <c r="AC45" s="30">
        <f t="shared" si="2"/>
        <v>28472537</v>
      </c>
      <c r="AD45" s="30"/>
      <c r="AE45" s="103">
        <f t="shared" si="3"/>
        <v>24345533</v>
      </c>
      <c r="AF45" s="33"/>
      <c r="AG45" s="30">
        <v>658844</v>
      </c>
      <c r="AH45" s="34"/>
      <c r="AI45" s="30">
        <v>14277587</v>
      </c>
      <c r="AJ45" s="34"/>
      <c r="AK45" s="30">
        <v>0</v>
      </c>
      <c r="AL45" s="34"/>
      <c r="AM45" s="34">
        <f>+'Gov Fd Rv'!Q45+'Gov Fd Rv'!S45-'Gov Fnd Exp'!AC45-AG45+AI45-'Gov Fd BS'!O44+AK45</f>
        <v>0</v>
      </c>
    </row>
    <row r="46" spans="1:39" ht="12.75" hidden="1">
      <c r="A46" s="32" t="s">
        <v>41</v>
      </c>
      <c r="B46" s="32"/>
      <c r="C46" s="30">
        <v>0</v>
      </c>
      <c r="D46" s="30"/>
      <c r="E46" s="30">
        <v>0</v>
      </c>
      <c r="F46" s="30"/>
      <c r="G46" s="30">
        <v>0</v>
      </c>
      <c r="H46" s="30"/>
      <c r="I46" s="30">
        <v>0</v>
      </c>
      <c r="J46" s="30"/>
      <c r="K46" s="30">
        <v>0</v>
      </c>
      <c r="L46" s="30"/>
      <c r="M46" s="30">
        <v>0</v>
      </c>
      <c r="N46" s="30"/>
      <c r="O46" s="30">
        <v>0</v>
      </c>
      <c r="P46" s="30"/>
      <c r="Q46" s="30">
        <v>0</v>
      </c>
      <c r="R46" s="30"/>
      <c r="S46" s="30">
        <v>0</v>
      </c>
      <c r="T46" s="30"/>
      <c r="U46" s="30">
        <v>0</v>
      </c>
      <c r="V46" s="30"/>
      <c r="W46" s="30">
        <v>0</v>
      </c>
      <c r="X46" s="30"/>
      <c r="Y46" s="30">
        <v>0</v>
      </c>
      <c r="Z46" s="30"/>
      <c r="AA46" s="30">
        <v>0</v>
      </c>
      <c r="AB46" s="30"/>
      <c r="AC46" s="30">
        <f t="shared" si="2"/>
        <v>0</v>
      </c>
      <c r="AD46" s="30"/>
      <c r="AE46" s="103">
        <f t="shared" si="3"/>
        <v>0</v>
      </c>
      <c r="AF46" s="33"/>
      <c r="AG46" s="30">
        <v>0</v>
      </c>
      <c r="AH46" s="34"/>
      <c r="AI46" s="30">
        <v>0</v>
      </c>
      <c r="AJ46" s="34"/>
      <c r="AK46" s="30">
        <v>0</v>
      </c>
      <c r="AL46" s="34"/>
      <c r="AM46" s="34">
        <f>+'Gov Fd Rv'!Q46+'Gov Fd Rv'!S46-'Gov Fnd Exp'!AC46-AG46+AI46-'Gov Fd BS'!O45+AK46</f>
        <v>0</v>
      </c>
    </row>
    <row r="47" spans="1:39" ht="12.75">
      <c r="A47" s="32" t="s">
        <v>42</v>
      </c>
      <c r="B47" s="32"/>
      <c r="C47" s="30">
        <v>2891872</v>
      </c>
      <c r="D47" s="30"/>
      <c r="E47" s="30">
        <v>1609669</v>
      </c>
      <c r="F47" s="30"/>
      <c r="G47" s="30">
        <v>2921459</v>
      </c>
      <c r="H47" s="30"/>
      <c r="I47" s="30">
        <v>3823003</v>
      </c>
      <c r="J47" s="30"/>
      <c r="K47" s="30">
        <v>3364586</v>
      </c>
      <c r="L47" s="30"/>
      <c r="M47" s="30">
        <v>7661781</v>
      </c>
      <c r="N47" s="30"/>
      <c r="O47" s="30">
        <v>493469</v>
      </c>
      <c r="P47" s="30"/>
      <c r="Q47" s="30">
        <v>249222</v>
      </c>
      <c r="R47" s="30"/>
      <c r="S47" s="30">
        <v>71400</v>
      </c>
      <c r="T47" s="30"/>
      <c r="U47" s="30">
        <v>233136</v>
      </c>
      <c r="V47" s="30"/>
      <c r="W47" s="30">
        <v>12982</v>
      </c>
      <c r="X47" s="30"/>
      <c r="Y47" s="30">
        <v>206506</v>
      </c>
      <c r="Z47" s="30"/>
      <c r="AA47" s="30">
        <v>55590</v>
      </c>
      <c r="AB47" s="30"/>
      <c r="AC47" s="30">
        <f t="shared" si="2"/>
        <v>23594675</v>
      </c>
      <c r="AD47" s="30"/>
      <c r="AE47" s="103">
        <f t="shared" si="3"/>
        <v>23086461</v>
      </c>
      <c r="AF47" s="33"/>
      <c r="AG47" s="30">
        <v>1153599</v>
      </c>
      <c r="AH47" s="34"/>
      <c r="AI47" s="30">
        <v>11645605</v>
      </c>
      <c r="AJ47" s="34"/>
      <c r="AK47" s="30">
        <v>0</v>
      </c>
      <c r="AL47" s="34"/>
      <c r="AM47" s="34">
        <f>+'Gov Fd Rv'!Q47+'Gov Fd Rv'!S47-'Gov Fnd Exp'!AC47-AG47+AI47-'Gov Fd BS'!O46+AK47</f>
        <v>0</v>
      </c>
    </row>
    <row r="48" spans="1:39" ht="12.75">
      <c r="A48" s="32" t="s">
        <v>43</v>
      </c>
      <c r="B48" s="32"/>
      <c r="C48" s="30">
        <v>4993346</v>
      </c>
      <c r="D48" s="30"/>
      <c r="E48" s="30">
        <v>1822322</v>
      </c>
      <c r="F48" s="30"/>
      <c r="G48" s="30">
        <v>4015005</v>
      </c>
      <c r="H48" s="30"/>
      <c r="I48" s="30">
        <v>7453071</v>
      </c>
      <c r="J48" s="30"/>
      <c r="K48" s="30">
        <v>234995</v>
      </c>
      <c r="L48" s="30"/>
      <c r="M48" s="30">
        <v>12965285</v>
      </c>
      <c r="N48" s="30"/>
      <c r="O48" s="30">
        <v>0</v>
      </c>
      <c r="P48" s="30"/>
      <c r="Q48" s="30">
        <v>301356</v>
      </c>
      <c r="R48" s="30"/>
      <c r="S48" s="30">
        <v>0</v>
      </c>
      <c r="T48" s="30"/>
      <c r="U48" s="30">
        <v>428680</v>
      </c>
      <c r="V48" s="30"/>
      <c r="W48" s="30">
        <v>160000</v>
      </c>
      <c r="X48" s="30"/>
      <c r="Y48" s="30">
        <v>307000</v>
      </c>
      <c r="Z48" s="30"/>
      <c r="AA48" s="30">
        <v>233173</v>
      </c>
      <c r="AB48" s="30"/>
      <c r="AC48" s="30">
        <f t="shared" si="2"/>
        <v>32914233</v>
      </c>
      <c r="AD48" s="30"/>
      <c r="AE48" s="103">
        <f t="shared" si="3"/>
        <v>31785380</v>
      </c>
      <c r="AF48" s="33"/>
      <c r="AG48" s="30">
        <v>1766065</v>
      </c>
      <c r="AH48" s="34"/>
      <c r="AI48" s="30">
        <v>10984213</v>
      </c>
      <c r="AJ48" s="34"/>
      <c r="AK48" s="30">
        <v>0</v>
      </c>
      <c r="AL48" s="34"/>
      <c r="AM48" s="34">
        <f>+'Gov Fd Rv'!Q48+'Gov Fd Rv'!S48-'Gov Fnd Exp'!AC48-AG48+AI48-'Gov Fd BS'!O47+AK48</f>
        <v>0</v>
      </c>
    </row>
    <row r="49" spans="1:39" ht="12.75">
      <c r="A49" s="32" t="s">
        <v>44</v>
      </c>
      <c r="B49" s="32"/>
      <c r="C49" s="30">
        <v>6264292</v>
      </c>
      <c r="D49" s="30"/>
      <c r="E49" s="30">
        <v>2310000</v>
      </c>
      <c r="F49" s="30"/>
      <c r="G49" s="30">
        <v>5499635</v>
      </c>
      <c r="H49" s="30"/>
      <c r="I49" s="30">
        <v>6195788</v>
      </c>
      <c r="J49" s="30"/>
      <c r="K49" s="30">
        <v>8935154</v>
      </c>
      <c r="L49" s="30"/>
      <c r="M49" s="30">
        <v>13156311</v>
      </c>
      <c r="N49" s="30"/>
      <c r="O49" s="30">
        <v>0</v>
      </c>
      <c r="P49" s="30"/>
      <c r="Q49" s="30">
        <v>154420</v>
      </c>
      <c r="R49" s="30"/>
      <c r="S49" s="30">
        <v>440642</v>
      </c>
      <c r="T49" s="30"/>
      <c r="U49" s="30">
        <v>2228759</v>
      </c>
      <c r="V49" s="30"/>
      <c r="W49" s="30">
        <v>0</v>
      </c>
      <c r="X49" s="30"/>
      <c r="Y49" s="30">
        <v>512000</v>
      </c>
      <c r="Z49" s="30"/>
      <c r="AA49" s="30">
        <f>388973+27000</f>
        <v>415973</v>
      </c>
      <c r="AB49" s="30"/>
      <c r="AC49" s="30">
        <f t="shared" si="2"/>
        <v>46112974</v>
      </c>
      <c r="AD49" s="30"/>
      <c r="AE49" s="103">
        <f t="shared" si="3"/>
        <v>42956242</v>
      </c>
      <c r="AF49" s="33"/>
      <c r="AG49" s="30">
        <v>2086611</v>
      </c>
      <c r="AH49" s="34"/>
      <c r="AI49" s="30">
        <v>13364003</v>
      </c>
      <c r="AJ49" s="34"/>
      <c r="AK49" s="30">
        <v>0</v>
      </c>
      <c r="AL49" s="34"/>
      <c r="AM49" s="34">
        <f>+'Gov Fd Rv'!Q49+'Gov Fd Rv'!S49-'Gov Fnd Exp'!AC49-AG49+AI49-'Gov Fd BS'!O48+AK49</f>
        <v>0</v>
      </c>
    </row>
    <row r="50" spans="1:39" ht="12.75" hidden="1">
      <c r="A50" s="32" t="s">
        <v>241</v>
      </c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>
        <f t="shared" si="2"/>
        <v>0</v>
      </c>
      <c r="AD50" s="30"/>
      <c r="AE50" s="103">
        <f t="shared" si="3"/>
        <v>0</v>
      </c>
      <c r="AF50" s="33"/>
      <c r="AG50" s="30"/>
      <c r="AH50" s="34"/>
      <c r="AI50" s="30"/>
      <c r="AJ50" s="34"/>
      <c r="AK50" s="30"/>
      <c r="AL50" s="34"/>
      <c r="AM50" s="34">
        <f>+'Gov Fd Rv'!Q50+'Gov Fd Rv'!S50-'Gov Fnd Exp'!AC50-AG50+AI50-'Gov Fd BS'!O49+AK50</f>
        <v>0</v>
      </c>
    </row>
    <row r="51" spans="1:39" ht="12.75">
      <c r="A51" s="32" t="s">
        <v>46</v>
      </c>
      <c r="B51" s="32"/>
      <c r="C51" s="30">
        <v>6307052</v>
      </c>
      <c r="D51" s="30"/>
      <c r="E51" s="30">
        <v>3829496</v>
      </c>
      <c r="F51" s="30"/>
      <c r="G51" s="30">
        <v>9599853</v>
      </c>
      <c r="H51" s="30"/>
      <c r="I51" s="30">
        <v>7158477</v>
      </c>
      <c r="J51" s="30"/>
      <c r="K51" s="30">
        <v>18632127</v>
      </c>
      <c r="L51" s="30"/>
      <c r="M51" s="30">
        <v>16449298</v>
      </c>
      <c r="N51" s="30"/>
      <c r="O51" s="30">
        <v>1373294</v>
      </c>
      <c r="P51" s="30"/>
      <c r="Q51" s="30">
        <v>413607</v>
      </c>
      <c r="R51" s="30"/>
      <c r="S51" s="30">
        <v>414987</v>
      </c>
      <c r="T51" s="30"/>
      <c r="U51" s="30">
        <v>1810989</v>
      </c>
      <c r="V51" s="30"/>
      <c r="W51" s="30">
        <v>0</v>
      </c>
      <c r="X51" s="30"/>
      <c r="Y51" s="30">
        <v>1723758</v>
      </c>
      <c r="Z51" s="30"/>
      <c r="AA51" s="30">
        <f>1314906+579173</f>
        <v>1894079</v>
      </c>
      <c r="AB51" s="30"/>
      <c r="AC51" s="30">
        <f t="shared" si="2"/>
        <v>69607017</v>
      </c>
      <c r="AD51" s="30"/>
      <c r="AE51" s="103">
        <f t="shared" si="3"/>
        <v>64178191</v>
      </c>
      <c r="AF51" s="33"/>
      <c r="AG51" s="30">
        <v>4035485</v>
      </c>
      <c r="AH51" s="34"/>
      <c r="AI51" s="30">
        <v>17296188</v>
      </c>
      <c r="AJ51" s="34"/>
      <c r="AK51" s="30">
        <v>0</v>
      </c>
      <c r="AL51" s="34"/>
      <c r="AM51" s="34">
        <f>+'Gov Fd Rv'!Q51+'Gov Fd Rv'!S51-'Gov Fnd Exp'!AC51-AG51+AI51-'Gov Fd BS'!O50+AK51</f>
        <v>0</v>
      </c>
    </row>
    <row r="52" spans="1:39" ht="12.75">
      <c r="A52" s="32" t="s">
        <v>47</v>
      </c>
      <c r="B52" s="42"/>
      <c r="C52" s="30">
        <v>6437179</v>
      </c>
      <c r="D52" s="30"/>
      <c r="E52" s="30">
        <v>2168442</v>
      </c>
      <c r="F52" s="30"/>
      <c r="G52" s="30">
        <v>5696130</v>
      </c>
      <c r="H52" s="30"/>
      <c r="I52" s="30">
        <v>5751430</v>
      </c>
      <c r="J52" s="30"/>
      <c r="K52" s="30">
        <v>478587</v>
      </c>
      <c r="L52" s="30"/>
      <c r="M52" s="30">
        <v>14098762</v>
      </c>
      <c r="N52" s="30"/>
      <c r="O52" s="30">
        <v>0</v>
      </c>
      <c r="P52" s="30"/>
      <c r="Q52" s="30">
        <v>0</v>
      </c>
      <c r="R52" s="30"/>
      <c r="S52" s="30">
        <v>0</v>
      </c>
      <c r="T52" s="30"/>
      <c r="U52" s="30">
        <v>1696281</v>
      </c>
      <c r="V52" s="30"/>
      <c r="W52" s="30">
        <v>2081824</v>
      </c>
      <c r="X52" s="30"/>
      <c r="Y52" s="30">
        <v>658364</v>
      </c>
      <c r="Z52" s="30"/>
      <c r="AA52" s="30">
        <v>502744</v>
      </c>
      <c r="AB52" s="30"/>
      <c r="AC52" s="30">
        <f t="shared" si="2"/>
        <v>39569743</v>
      </c>
      <c r="AD52" s="30"/>
      <c r="AE52" s="103">
        <f t="shared" si="3"/>
        <v>34630530</v>
      </c>
      <c r="AF52" s="33"/>
      <c r="AG52" s="30">
        <v>1708646</v>
      </c>
      <c r="AH52" s="34"/>
      <c r="AI52" s="30">
        <v>18023091</v>
      </c>
      <c r="AJ52" s="34"/>
      <c r="AK52" s="30">
        <v>-74077</v>
      </c>
      <c r="AL52" s="34"/>
      <c r="AM52" s="34">
        <f>+'Gov Fd Rv'!Q52+'Gov Fd Rv'!S52-'Gov Fnd Exp'!AC52-AG52+AI52-'Gov Fd BS'!O51+AK52</f>
        <v>0</v>
      </c>
    </row>
    <row r="53" spans="1:39" ht="12.75">
      <c r="A53" s="32" t="s">
        <v>48</v>
      </c>
      <c r="B53" s="32"/>
      <c r="C53" s="30">
        <v>19090594</v>
      </c>
      <c r="D53" s="30"/>
      <c r="E53" s="30">
        <v>43735876</v>
      </c>
      <c r="F53" s="30"/>
      <c r="G53" s="30">
        <v>0</v>
      </c>
      <c r="H53" s="30"/>
      <c r="I53" s="30">
        <v>11988238</v>
      </c>
      <c r="J53" s="30"/>
      <c r="K53" s="30">
        <v>21545987</v>
      </c>
      <c r="L53" s="30"/>
      <c r="M53" s="30">
        <v>71172922</v>
      </c>
      <c r="N53" s="30"/>
      <c r="O53" s="30">
        <v>4573772</v>
      </c>
      <c r="P53" s="30"/>
      <c r="Q53" s="30">
        <v>0</v>
      </c>
      <c r="R53" s="30"/>
      <c r="S53" s="30">
        <v>0</v>
      </c>
      <c r="T53" s="30"/>
      <c r="U53" s="30">
        <v>4578600</v>
      </c>
      <c r="V53" s="30"/>
      <c r="W53" s="30">
        <v>0</v>
      </c>
      <c r="X53" s="30"/>
      <c r="Y53" s="30">
        <v>2770300</v>
      </c>
      <c r="Z53" s="30"/>
      <c r="AA53" s="30">
        <f>1620010+46091</f>
        <v>1666101</v>
      </c>
      <c r="AB53" s="30"/>
      <c r="AC53" s="30">
        <f t="shared" si="2"/>
        <v>181122390</v>
      </c>
      <c r="AD53" s="30"/>
      <c r="AE53" s="103">
        <f t="shared" si="3"/>
        <v>172107389</v>
      </c>
      <c r="AF53" s="33"/>
      <c r="AG53" s="30">
        <v>12108061</v>
      </c>
      <c r="AH53" s="34"/>
      <c r="AI53" s="30">
        <v>108315565</v>
      </c>
      <c r="AJ53" s="34"/>
      <c r="AK53" s="30">
        <v>68172</v>
      </c>
      <c r="AL53" s="34"/>
      <c r="AM53" s="34">
        <f>+'[1]Gov Fd Rv'!Q52+'[1]Gov Fd Rv'!S52-'[1]Gov Fnd Exp'!AC52-AG53+AI53-'[1]Gov Fd BS'!O52+AK53</f>
        <v>0</v>
      </c>
    </row>
    <row r="54" spans="1:39" ht="12.75" hidden="1">
      <c r="A54" s="32" t="s">
        <v>170</v>
      </c>
      <c r="B54" s="3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>
        <f t="shared" si="2"/>
        <v>0</v>
      </c>
      <c r="AD54" s="30"/>
      <c r="AE54" s="103">
        <f t="shared" si="3"/>
        <v>0</v>
      </c>
      <c r="AF54" s="33"/>
      <c r="AG54" s="30"/>
      <c r="AH54" s="34"/>
      <c r="AI54" s="30"/>
      <c r="AJ54" s="34"/>
      <c r="AK54" s="30"/>
      <c r="AL54" s="34"/>
      <c r="AM54" s="34" t="e">
        <f>+'[1]Gov Fd Rv'!Q53+'[1]Gov Fd Rv'!S53-'[1]Gov Fnd Exp'!AC53-AG54+AI54-'[1]Gov Fd BS'!O53+AK54</f>
        <v>#REF!</v>
      </c>
    </row>
    <row r="55" spans="1:39" ht="12.75">
      <c r="A55" s="32" t="s">
        <v>49</v>
      </c>
      <c r="B55" s="32"/>
      <c r="C55" s="30">
        <v>21662889</v>
      </c>
      <c r="D55" s="30"/>
      <c r="E55" s="30">
        <v>0</v>
      </c>
      <c r="F55" s="30"/>
      <c r="G55" s="30">
        <v>21207576</v>
      </c>
      <c r="H55" s="30"/>
      <c r="I55" s="30">
        <v>7733293</v>
      </c>
      <c r="J55" s="30"/>
      <c r="K55" s="30">
        <v>4397989</v>
      </c>
      <c r="L55" s="30"/>
      <c r="M55" s="30">
        <v>45844341</v>
      </c>
      <c r="N55" s="30"/>
      <c r="O55" s="30">
        <v>1095554</v>
      </c>
      <c r="P55" s="30"/>
      <c r="Q55" s="30">
        <v>1147499</v>
      </c>
      <c r="R55" s="30"/>
      <c r="S55" s="30">
        <v>0</v>
      </c>
      <c r="T55" s="30"/>
      <c r="U55" s="30">
        <v>1269285</v>
      </c>
      <c r="V55" s="30"/>
      <c r="W55" s="30">
        <v>0</v>
      </c>
      <c r="X55" s="30"/>
      <c r="Y55" s="30">
        <v>1130676</v>
      </c>
      <c r="Z55" s="30"/>
      <c r="AA55" s="30">
        <v>697548</v>
      </c>
      <c r="AB55" s="30"/>
      <c r="AC55" s="30">
        <f t="shared" si="2"/>
        <v>106186650</v>
      </c>
      <c r="AD55" s="30"/>
      <c r="AE55" s="103">
        <f t="shared" si="3"/>
        <v>103089141</v>
      </c>
      <c r="AF55" s="33"/>
      <c r="AG55" s="30">
        <v>6207836</v>
      </c>
      <c r="AH55" s="34"/>
      <c r="AI55" s="30">
        <v>39039957</v>
      </c>
      <c r="AJ55" s="34"/>
      <c r="AK55" s="30">
        <v>32764</v>
      </c>
      <c r="AL55" s="34"/>
      <c r="AM55" s="34">
        <f>+'[1]Gov Fd Rv'!Q54+'[1]Gov Fd Rv'!S54-'[1]Gov Fnd Exp'!AC54-AG55+AI55-'[1]Gov Fd BS'!O54+AK55</f>
        <v>0</v>
      </c>
    </row>
    <row r="56" spans="1:39" ht="12.75">
      <c r="A56" s="32" t="s">
        <v>50</v>
      </c>
      <c r="B56" s="32"/>
      <c r="C56" s="30">
        <v>6113291</v>
      </c>
      <c r="D56" s="30"/>
      <c r="E56" s="30">
        <v>3039323</v>
      </c>
      <c r="F56" s="30"/>
      <c r="G56" s="30">
        <v>6237732</v>
      </c>
      <c r="H56" s="30"/>
      <c r="I56" s="30">
        <v>6357464</v>
      </c>
      <c r="J56" s="30"/>
      <c r="K56" s="30">
        <v>1457799</v>
      </c>
      <c r="L56" s="30"/>
      <c r="M56" s="30">
        <v>15296580</v>
      </c>
      <c r="N56" s="30"/>
      <c r="O56" s="30">
        <f>262845+403205</f>
        <v>666050</v>
      </c>
      <c r="P56" s="30"/>
      <c r="Q56" s="30">
        <v>462890</v>
      </c>
      <c r="R56" s="30"/>
      <c r="S56" s="30">
        <v>0</v>
      </c>
      <c r="T56" s="30"/>
      <c r="U56" s="30">
        <v>0</v>
      </c>
      <c r="V56" s="30"/>
      <c r="W56" s="30">
        <v>0</v>
      </c>
      <c r="X56" s="30"/>
      <c r="Y56" s="30">
        <v>463375</v>
      </c>
      <c r="Z56" s="30"/>
      <c r="AA56" s="30">
        <v>579204</v>
      </c>
      <c r="AB56" s="30"/>
      <c r="AC56" s="30">
        <f t="shared" si="2"/>
        <v>40673708</v>
      </c>
      <c r="AD56" s="30"/>
      <c r="AE56" s="103">
        <f t="shared" si="3"/>
        <v>39631129</v>
      </c>
      <c r="AF56" s="33"/>
      <c r="AG56" s="30">
        <v>5204600</v>
      </c>
      <c r="AH56" s="34"/>
      <c r="AI56" s="30">
        <v>16557016</v>
      </c>
      <c r="AJ56" s="34"/>
      <c r="AK56" s="30">
        <v>127248</v>
      </c>
      <c r="AL56" s="34"/>
      <c r="AM56" s="34">
        <f>+'[1]Gov Fd Rv'!Q55+'[1]Gov Fd Rv'!S55-'[1]Gov Fnd Exp'!AC55-AG56+AI56-'[1]Gov Fd BS'!O55+AK56</f>
        <v>0</v>
      </c>
    </row>
    <row r="57" spans="1:39" ht="12.75">
      <c r="A57" s="32" t="s">
        <v>246</v>
      </c>
      <c r="B57" s="32"/>
      <c r="C57" s="30">
        <v>32025352</v>
      </c>
      <c r="D57" s="30"/>
      <c r="E57" s="30">
        <v>16372924</v>
      </c>
      <c r="F57" s="30"/>
      <c r="G57" s="30">
        <v>25119815</v>
      </c>
      <c r="H57" s="30"/>
      <c r="I57" s="30">
        <v>9196145</v>
      </c>
      <c r="J57" s="30"/>
      <c r="K57" s="30">
        <v>51506457</v>
      </c>
      <c r="L57" s="30"/>
      <c r="M57" s="30">
        <v>94367372</v>
      </c>
      <c r="N57" s="30"/>
      <c r="O57" s="30">
        <v>794886</v>
      </c>
      <c r="P57" s="30"/>
      <c r="Q57" s="30">
        <v>0</v>
      </c>
      <c r="R57" s="30"/>
      <c r="S57" s="30">
        <v>0</v>
      </c>
      <c r="T57" s="30"/>
      <c r="U57" s="30">
        <v>3799539</v>
      </c>
      <c r="V57" s="30"/>
      <c r="W57" s="30">
        <v>532263</v>
      </c>
      <c r="X57" s="30"/>
      <c r="Y57" s="30">
        <v>1930736</v>
      </c>
      <c r="Z57" s="30"/>
      <c r="AA57" s="30">
        <v>2227319</v>
      </c>
      <c r="AB57" s="30"/>
      <c r="AC57" s="30">
        <f t="shared" si="2"/>
        <v>237872808</v>
      </c>
      <c r="AD57" s="30"/>
      <c r="AE57" s="103">
        <f t="shared" si="3"/>
        <v>229382951</v>
      </c>
      <c r="AF57" s="33"/>
      <c r="AG57" s="30">
        <v>9308903</v>
      </c>
      <c r="AH57" s="34"/>
      <c r="AI57" s="30">
        <v>112211615</v>
      </c>
      <c r="AJ57" s="34"/>
      <c r="AK57" s="30">
        <v>25409</v>
      </c>
      <c r="AL57" s="34"/>
      <c r="AM57" s="34">
        <f>+'[1]Gov Fd Rv'!Q56+'[1]Gov Fd Rv'!S56-'[1]Gov Fnd Exp'!AC56-AG57+AI57-'[1]Gov Fd BS'!O56+AK57</f>
        <v>193820</v>
      </c>
    </row>
    <row r="58" spans="1:39" ht="12.75">
      <c r="A58" s="32" t="s">
        <v>183</v>
      </c>
      <c r="B58" s="32"/>
      <c r="C58" s="30">
        <v>44334517</v>
      </c>
      <c r="D58" s="30"/>
      <c r="E58" s="30">
        <v>62619990</v>
      </c>
      <c r="F58" s="30"/>
      <c r="G58" s="30">
        <v>69598114</v>
      </c>
      <c r="H58" s="30"/>
      <c r="I58" s="30">
        <v>17674848</v>
      </c>
      <c r="J58" s="30"/>
      <c r="K58" s="30">
        <v>130847739</v>
      </c>
      <c r="L58" s="30"/>
      <c r="M58" s="30">
        <v>145021296</v>
      </c>
      <c r="N58" s="30"/>
      <c r="O58" s="30">
        <v>0</v>
      </c>
      <c r="P58" s="30"/>
      <c r="Q58" s="30">
        <v>10070395</v>
      </c>
      <c r="R58" s="30"/>
      <c r="S58" s="30">
        <v>45394465</v>
      </c>
      <c r="T58" s="30"/>
      <c r="U58" s="30">
        <v>10217229</v>
      </c>
      <c r="V58" s="30"/>
      <c r="W58" s="30">
        <v>0</v>
      </c>
      <c r="X58" s="30"/>
      <c r="Y58" s="30">
        <v>5701142</v>
      </c>
      <c r="Z58" s="30"/>
      <c r="AA58" s="30">
        <f>3705367+143419</f>
        <v>3848786</v>
      </c>
      <c r="AB58" s="30"/>
      <c r="AC58" s="30">
        <f t="shared" si="2"/>
        <v>545328521</v>
      </c>
      <c r="AD58" s="30"/>
      <c r="AE58" s="103">
        <f t="shared" si="3"/>
        <v>525561364</v>
      </c>
      <c r="AF58" s="33"/>
      <c r="AG58" s="30">
        <f>11596581+20790780</f>
        <v>32387361</v>
      </c>
      <c r="AH58" s="34"/>
      <c r="AI58" s="30">
        <v>170280491</v>
      </c>
      <c r="AJ58" s="34"/>
      <c r="AK58" s="30">
        <v>0</v>
      </c>
      <c r="AL58" s="34"/>
      <c r="AM58" s="34">
        <f>+'[1]Gov Fd Rv'!Q57+'[1]Gov Fd Rv'!S57-'[1]Gov Fnd Exp'!AC57-AG58+AI58-'[1]Gov Fd BS'!O57+AK58</f>
        <v>0</v>
      </c>
    </row>
    <row r="59" spans="1:39" ht="12.75" hidden="1">
      <c r="A59" s="32" t="s">
        <v>52</v>
      </c>
      <c r="B59" s="32"/>
      <c r="C59" s="30">
        <v>0</v>
      </c>
      <c r="D59" s="30"/>
      <c r="E59" s="30">
        <v>0</v>
      </c>
      <c r="F59" s="30"/>
      <c r="G59" s="30">
        <v>0</v>
      </c>
      <c r="H59" s="30"/>
      <c r="I59" s="30">
        <v>0</v>
      </c>
      <c r="J59" s="30"/>
      <c r="K59" s="30">
        <v>0</v>
      </c>
      <c r="L59" s="30"/>
      <c r="M59" s="30">
        <v>0</v>
      </c>
      <c r="N59" s="30"/>
      <c r="O59" s="30">
        <v>0</v>
      </c>
      <c r="P59" s="30"/>
      <c r="Q59" s="30">
        <v>0</v>
      </c>
      <c r="R59" s="30"/>
      <c r="S59" s="30">
        <v>0</v>
      </c>
      <c r="T59" s="30"/>
      <c r="U59" s="30">
        <v>0</v>
      </c>
      <c r="V59" s="30"/>
      <c r="W59" s="30">
        <v>0</v>
      </c>
      <c r="X59" s="30"/>
      <c r="Y59" s="30">
        <v>0</v>
      </c>
      <c r="Z59" s="30"/>
      <c r="AA59" s="30">
        <v>0</v>
      </c>
      <c r="AB59" s="30"/>
      <c r="AC59" s="30">
        <f t="shared" si="2"/>
        <v>0</v>
      </c>
      <c r="AD59" s="30"/>
      <c r="AE59" s="103">
        <f t="shared" si="3"/>
        <v>0</v>
      </c>
      <c r="AF59" s="33"/>
      <c r="AG59" s="30">
        <v>0</v>
      </c>
      <c r="AH59" s="34"/>
      <c r="AI59" s="30">
        <v>0</v>
      </c>
      <c r="AJ59" s="34"/>
      <c r="AK59" s="30">
        <v>0</v>
      </c>
      <c r="AL59" s="34"/>
      <c r="AM59" s="34">
        <f>+'[1]Gov Fd Rv'!Q58+'[1]Gov Fd Rv'!S58-'[1]Gov Fnd Exp'!AC58-AG59+AI59-'[1]Gov Fd BS'!O58+AK59</f>
        <v>0</v>
      </c>
    </row>
    <row r="60" spans="1:39" ht="12.75">
      <c r="A60" s="32" t="s">
        <v>53</v>
      </c>
      <c r="B60" s="32"/>
      <c r="C60" s="30">
        <v>24618208</v>
      </c>
      <c r="D60" s="30"/>
      <c r="E60" s="30">
        <v>17319940</v>
      </c>
      <c r="F60" s="30"/>
      <c r="G60" s="30">
        <v>25496999</v>
      </c>
      <c r="H60" s="30"/>
      <c r="I60" s="30">
        <v>11201125</v>
      </c>
      <c r="J60" s="30"/>
      <c r="K60" s="30">
        <v>51795638</v>
      </c>
      <c r="L60" s="30"/>
      <c r="M60" s="30">
        <v>61951599</v>
      </c>
      <c r="N60" s="30"/>
      <c r="O60" s="30">
        <v>0</v>
      </c>
      <c r="P60" s="30"/>
      <c r="Q60" s="30">
        <v>0</v>
      </c>
      <c r="R60" s="30"/>
      <c r="S60" s="30">
        <v>0</v>
      </c>
      <c r="T60" s="30"/>
      <c r="U60" s="30">
        <v>6637207</v>
      </c>
      <c r="V60" s="30"/>
      <c r="W60" s="30">
        <v>0</v>
      </c>
      <c r="X60" s="30"/>
      <c r="Y60" s="30">
        <v>7585892</v>
      </c>
      <c r="Z60" s="30"/>
      <c r="AA60" s="30">
        <f>1552180+117588</f>
        <v>1669768</v>
      </c>
      <c r="AB60" s="30"/>
      <c r="AC60" s="30">
        <f t="shared" si="2"/>
        <v>208276376</v>
      </c>
      <c r="AD60" s="30"/>
      <c r="AE60" s="103">
        <f t="shared" si="3"/>
        <v>192383509</v>
      </c>
      <c r="AF60" s="33"/>
      <c r="AG60" s="30">
        <v>11074692</v>
      </c>
      <c r="AH60" s="34"/>
      <c r="AI60" s="30">
        <v>69134858</v>
      </c>
      <c r="AJ60" s="34"/>
      <c r="AK60" s="30">
        <v>0</v>
      </c>
      <c r="AL60" s="34"/>
      <c r="AM60" s="34">
        <f>+'[1]Gov Fd Rv'!Q59+'[1]Gov Fd Rv'!S59-'[1]Gov Fnd Exp'!AC59-AG60+AI60-'[1]Gov Fd BS'!O59+AK60</f>
        <v>0</v>
      </c>
    </row>
    <row r="61" spans="1:39" ht="12.75">
      <c r="A61" s="32" t="s">
        <v>54</v>
      </c>
      <c r="B61" s="32"/>
      <c r="C61" s="30">
        <v>5997407</v>
      </c>
      <c r="D61" s="30"/>
      <c r="E61" s="30">
        <v>2105744</v>
      </c>
      <c r="F61" s="30"/>
      <c r="G61" s="30">
        <v>9722362</v>
      </c>
      <c r="H61" s="30"/>
      <c r="I61" s="30">
        <v>4670835</v>
      </c>
      <c r="J61" s="30"/>
      <c r="K61" s="30">
        <v>7385058</v>
      </c>
      <c r="L61" s="30"/>
      <c r="M61" s="30">
        <v>14384934</v>
      </c>
      <c r="N61" s="30"/>
      <c r="O61" s="30">
        <v>0</v>
      </c>
      <c r="P61" s="30"/>
      <c r="Q61" s="30">
        <v>13000</v>
      </c>
      <c r="R61" s="30"/>
      <c r="S61" s="30">
        <v>0</v>
      </c>
      <c r="T61" s="30"/>
      <c r="U61" s="30">
        <v>1577479</v>
      </c>
      <c r="V61" s="30"/>
      <c r="W61" s="30">
        <f>178628+1087960+185000</f>
        <v>1451588</v>
      </c>
      <c r="X61" s="30"/>
      <c r="Y61" s="30">
        <v>3151477</v>
      </c>
      <c r="Z61" s="30"/>
      <c r="AA61" s="30">
        <f>471181+150011</f>
        <v>621192</v>
      </c>
      <c r="AB61" s="30"/>
      <c r="AC61" s="30">
        <f t="shared" si="2"/>
        <v>51081076</v>
      </c>
      <c r="AD61" s="30"/>
      <c r="AE61" s="103">
        <f t="shared" si="3"/>
        <v>44279340</v>
      </c>
      <c r="AF61" s="33"/>
      <c r="AG61" s="30">
        <f>9851499+1612280</f>
        <v>11463779</v>
      </c>
      <c r="AH61" s="34"/>
      <c r="AI61" s="30">
        <v>23768049</v>
      </c>
      <c r="AJ61" s="34"/>
      <c r="AK61" s="30">
        <v>0</v>
      </c>
      <c r="AL61" s="34"/>
      <c r="AM61" s="34">
        <f>+'[1]Gov Fd Rv'!Q60+'[1]Gov Fd Rv'!S60-'[1]Gov Fnd Exp'!AC60-AG61+AI61-'[1]Gov Fd BS'!O60+AK61</f>
        <v>0</v>
      </c>
    </row>
    <row r="62" spans="1:39" ht="12.75">
      <c r="A62" s="32" t="s">
        <v>55</v>
      </c>
      <c r="B62" s="32"/>
      <c r="C62" s="30">
        <v>15110565</v>
      </c>
      <c r="D62" s="30"/>
      <c r="E62" s="30">
        <v>9820561</v>
      </c>
      <c r="F62" s="30"/>
      <c r="G62" s="30">
        <v>21253841</v>
      </c>
      <c r="H62" s="30"/>
      <c r="I62" s="30">
        <v>8261819</v>
      </c>
      <c r="J62" s="30"/>
      <c r="K62" s="30">
        <v>25212522</v>
      </c>
      <c r="L62" s="30"/>
      <c r="M62" s="30">
        <v>24625007</v>
      </c>
      <c r="N62" s="30"/>
      <c r="O62" s="30">
        <v>635354</v>
      </c>
      <c r="P62" s="30"/>
      <c r="Q62" s="30">
        <v>0</v>
      </c>
      <c r="R62" s="30"/>
      <c r="S62" s="30">
        <v>0</v>
      </c>
      <c r="T62" s="30"/>
      <c r="U62" s="30">
        <v>1729362</v>
      </c>
      <c r="V62" s="30"/>
      <c r="W62" s="30">
        <v>844663</v>
      </c>
      <c r="X62" s="30"/>
      <c r="Y62" s="30">
        <v>2145665</v>
      </c>
      <c r="Z62" s="30"/>
      <c r="AA62" s="30">
        <v>533786</v>
      </c>
      <c r="AB62" s="30"/>
      <c r="AC62" s="30">
        <f t="shared" si="2"/>
        <v>110173145</v>
      </c>
      <c r="AD62" s="30"/>
      <c r="AE62" s="103">
        <f t="shared" si="3"/>
        <v>104919669</v>
      </c>
      <c r="AF62" s="33"/>
      <c r="AG62" s="30">
        <v>2802738</v>
      </c>
      <c r="AH62" s="34"/>
      <c r="AI62" s="30">
        <v>48083240</v>
      </c>
      <c r="AJ62" s="34"/>
      <c r="AK62" s="30">
        <v>0</v>
      </c>
      <c r="AL62" s="34"/>
      <c r="AM62" s="34">
        <f>+'[1]Gov Fd Rv'!Q61+'[1]Gov Fd Rv'!S61-'[1]Gov Fnd Exp'!AC61-AG62+AI62-'[1]Gov Fd BS'!O61+AK62</f>
        <v>0</v>
      </c>
    </row>
    <row r="63" spans="1:39" ht="12.75" hidden="1">
      <c r="A63" s="32" t="s">
        <v>171</v>
      </c>
      <c r="B63" s="32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>
        <f t="shared" si="2"/>
        <v>0</v>
      </c>
      <c r="AD63" s="30"/>
      <c r="AE63" s="103">
        <f t="shared" si="3"/>
        <v>0</v>
      </c>
      <c r="AF63" s="33"/>
      <c r="AG63" s="30"/>
      <c r="AH63" s="34"/>
      <c r="AI63" s="30"/>
      <c r="AJ63" s="34"/>
      <c r="AK63" s="30"/>
      <c r="AL63" s="34"/>
      <c r="AM63" s="34" t="e">
        <f>+'[1]Gov Fd Rv'!Q62+'[1]Gov Fd Rv'!S62-'[1]Gov Fnd Exp'!AC62-AG63+AI63-'[1]Gov Fd BS'!O62+AK63</f>
        <v>#REF!</v>
      </c>
    </row>
    <row r="64" spans="1:39" ht="12.75" hidden="1">
      <c r="A64" s="32" t="s">
        <v>56</v>
      </c>
      <c r="B64" s="3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>
        <f t="shared" si="2"/>
        <v>0</v>
      </c>
      <c r="AD64" s="30"/>
      <c r="AE64" s="103">
        <f t="shared" si="3"/>
        <v>0</v>
      </c>
      <c r="AF64" s="33"/>
      <c r="AG64" s="30"/>
      <c r="AH64" s="34"/>
      <c r="AI64" s="30"/>
      <c r="AJ64" s="34"/>
      <c r="AK64" s="30"/>
      <c r="AL64" s="34"/>
      <c r="AM64" s="34" t="e">
        <f>+'[1]Gov Fd Rv'!Q63+'[1]Gov Fd Rv'!S63-'[1]Gov Fnd Exp'!AC63-AG64+AI64-'[1]Gov Fd BS'!O63+AK64</f>
        <v>#REF!</v>
      </c>
    </row>
    <row r="65" spans="1:39" ht="12.75">
      <c r="A65" s="32" t="s">
        <v>57</v>
      </c>
      <c r="B65" s="32"/>
      <c r="C65" s="30">
        <v>14921902</v>
      </c>
      <c r="D65" s="30"/>
      <c r="E65" s="30">
        <v>0</v>
      </c>
      <c r="F65" s="30"/>
      <c r="G65" s="30">
        <v>17968563</v>
      </c>
      <c r="H65" s="30"/>
      <c r="I65" s="30">
        <v>9329376</v>
      </c>
      <c r="J65" s="30"/>
      <c r="K65" s="30">
        <v>13923150</v>
      </c>
      <c r="L65" s="30"/>
      <c r="M65" s="30">
        <v>14184550</v>
      </c>
      <c r="N65" s="30"/>
      <c r="O65" s="30">
        <v>0</v>
      </c>
      <c r="P65" s="30"/>
      <c r="Q65" s="30">
        <v>536828</v>
      </c>
      <c r="R65" s="30"/>
      <c r="S65" s="30">
        <v>0</v>
      </c>
      <c r="T65" s="30"/>
      <c r="U65" s="30">
        <v>141335</v>
      </c>
      <c r="V65" s="30"/>
      <c r="W65" s="30">
        <v>0</v>
      </c>
      <c r="X65" s="30"/>
      <c r="Y65" s="30">
        <v>597728</v>
      </c>
      <c r="Z65" s="30"/>
      <c r="AA65" s="30">
        <v>259302</v>
      </c>
      <c r="AB65" s="30"/>
      <c r="AC65" s="30">
        <f t="shared" si="2"/>
        <v>71862734</v>
      </c>
      <c r="AD65" s="30"/>
      <c r="AE65" s="103">
        <f t="shared" si="3"/>
        <v>70864369</v>
      </c>
      <c r="AF65" s="33"/>
      <c r="AG65" s="30">
        <v>1091867</v>
      </c>
      <c r="AH65" s="34"/>
      <c r="AI65" s="30">
        <v>46865605</v>
      </c>
      <c r="AJ65" s="34"/>
      <c r="AK65" s="30">
        <v>-51167</v>
      </c>
      <c r="AL65" s="34"/>
      <c r="AM65" s="34">
        <f>+'[1]Gov Fd Rv'!Q64+'[1]Gov Fd Rv'!S64-'[1]Gov Fnd Exp'!AC64-AG65+AI65-'[1]Gov Fd BS'!O64+AK65</f>
        <v>0</v>
      </c>
    </row>
    <row r="66" spans="1:39" ht="12.75">
      <c r="A66" s="32" t="s">
        <v>58</v>
      </c>
      <c r="B66" s="42"/>
      <c r="C66" s="30">
        <v>1566703</v>
      </c>
      <c r="D66" s="30"/>
      <c r="E66" s="30">
        <v>679361</v>
      </c>
      <c r="F66" s="30"/>
      <c r="G66" s="30">
        <v>1977110</v>
      </c>
      <c r="H66" s="30"/>
      <c r="I66" s="30">
        <v>3384416</v>
      </c>
      <c r="J66" s="30"/>
      <c r="K66" s="30">
        <v>629961</v>
      </c>
      <c r="L66" s="30"/>
      <c r="M66" s="30">
        <v>6675610</v>
      </c>
      <c r="N66" s="30"/>
      <c r="O66" s="30">
        <v>542514</v>
      </c>
      <c r="P66" s="30"/>
      <c r="Q66" s="30">
        <v>0</v>
      </c>
      <c r="R66" s="30"/>
      <c r="S66" s="30">
        <v>0</v>
      </c>
      <c r="T66" s="30"/>
      <c r="U66" s="30">
        <v>0</v>
      </c>
      <c r="V66" s="30"/>
      <c r="W66" s="30">
        <v>10500</v>
      </c>
      <c r="X66" s="30"/>
      <c r="Y66" s="30">
        <v>13832</v>
      </c>
      <c r="Z66" s="30"/>
      <c r="AA66" s="30">
        <v>13671</v>
      </c>
      <c r="AB66" s="30"/>
      <c r="AC66" s="30">
        <f t="shared" si="2"/>
        <v>15493678</v>
      </c>
      <c r="AD66" s="30"/>
      <c r="AE66" s="103">
        <f t="shared" si="3"/>
        <v>15455675</v>
      </c>
      <c r="AF66" s="33"/>
      <c r="AG66" s="30">
        <v>157708</v>
      </c>
      <c r="AH66" s="34"/>
      <c r="AI66" s="30">
        <v>5106898</v>
      </c>
      <c r="AJ66" s="34"/>
      <c r="AK66" s="30">
        <v>0</v>
      </c>
      <c r="AL66" s="34"/>
      <c r="AM66" s="34">
        <f>+'[1]Gov Fd Rv'!Q65+'[1]Gov Fd Rv'!S65-'[1]Gov Fnd Exp'!AC65-AG66+AI66-'[1]Gov Fd BS'!O65+AK66</f>
        <v>0</v>
      </c>
    </row>
    <row r="67" spans="1:39" ht="12.75">
      <c r="A67" s="32" t="s">
        <v>59</v>
      </c>
      <c r="B67" s="32"/>
      <c r="C67" s="30">
        <v>34237179</v>
      </c>
      <c r="D67" s="30"/>
      <c r="E67" s="30">
        <v>150120102</v>
      </c>
      <c r="F67" s="30"/>
      <c r="G67" s="30">
        <v>0</v>
      </c>
      <c r="H67" s="30"/>
      <c r="I67" s="30">
        <v>16030285</v>
      </c>
      <c r="J67" s="30"/>
      <c r="K67" s="30">
        <v>0</v>
      </c>
      <c r="L67" s="30"/>
      <c r="M67" s="30">
        <v>269069253</v>
      </c>
      <c r="N67" s="30"/>
      <c r="O67" s="30">
        <v>10424976</v>
      </c>
      <c r="P67" s="30"/>
      <c r="Q67" s="30">
        <v>0</v>
      </c>
      <c r="R67" s="30"/>
      <c r="S67" s="30">
        <v>0</v>
      </c>
      <c r="T67" s="30"/>
      <c r="U67" s="30">
        <v>23252421</v>
      </c>
      <c r="V67" s="30"/>
      <c r="W67" s="30">
        <f>53300+17045948+4653459+244304</f>
        <v>21997011</v>
      </c>
      <c r="X67" s="30"/>
      <c r="Y67" s="30">
        <v>2843969</v>
      </c>
      <c r="Z67" s="30"/>
      <c r="AA67" s="30">
        <v>2468045</v>
      </c>
      <c r="AB67" s="30"/>
      <c r="AC67" s="30">
        <f t="shared" si="2"/>
        <v>530443241</v>
      </c>
      <c r="AD67" s="30"/>
      <c r="AE67" s="103">
        <f t="shared" si="3"/>
        <v>479881795</v>
      </c>
      <c r="AF67" s="33"/>
      <c r="AG67" s="30">
        <v>129933727</v>
      </c>
      <c r="AH67" s="34"/>
      <c r="AI67" s="30">
        <v>261139323</v>
      </c>
      <c r="AJ67" s="34"/>
      <c r="AK67" s="30">
        <v>0</v>
      </c>
      <c r="AL67" s="34"/>
      <c r="AM67" s="34">
        <f>+'[1]Gov Fd Rv'!Q66+'[1]Gov Fd Rv'!S66-'[1]Gov Fnd Exp'!AC66-AG67+AI67-'[1]Gov Fd BS'!O66+AK67</f>
        <v>0</v>
      </c>
    </row>
    <row r="68" spans="1:39" ht="12.75" hidden="1">
      <c r="A68" s="32" t="s">
        <v>60</v>
      </c>
      <c r="B68" s="3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>
        <f t="shared" si="2"/>
        <v>0</v>
      </c>
      <c r="AD68" s="30"/>
      <c r="AE68" s="103">
        <f t="shared" si="3"/>
        <v>0</v>
      </c>
      <c r="AF68" s="33"/>
      <c r="AG68" s="30"/>
      <c r="AH68" s="34"/>
      <c r="AI68" s="30"/>
      <c r="AJ68" s="34"/>
      <c r="AK68" s="30"/>
      <c r="AL68" s="34"/>
      <c r="AM68" s="34" t="e">
        <f>+'[1]Gov Fd Rv'!Q67+'[1]Gov Fd Rv'!S67-'[1]Gov Fnd Exp'!AC67-AG68+AI68-'[1]Gov Fd BS'!O67+AK68</f>
        <v>#REF!</v>
      </c>
    </row>
    <row r="69" spans="1:39" ht="12.75">
      <c r="A69" s="32" t="s">
        <v>97</v>
      </c>
      <c r="B69" s="32"/>
      <c r="C69" s="30">
        <v>3637137</v>
      </c>
      <c r="D69" s="30"/>
      <c r="E69" s="30">
        <v>1637461</v>
      </c>
      <c r="F69" s="30"/>
      <c r="G69" s="30">
        <v>4670828</v>
      </c>
      <c r="H69" s="30"/>
      <c r="I69" s="30">
        <v>3955172</v>
      </c>
      <c r="J69" s="30"/>
      <c r="K69" s="30">
        <v>2128807</v>
      </c>
      <c r="L69" s="30"/>
      <c r="M69" s="30">
        <v>7795267</v>
      </c>
      <c r="N69" s="30"/>
      <c r="O69" s="30">
        <v>50266</v>
      </c>
      <c r="P69" s="30"/>
      <c r="Q69" s="30">
        <v>0</v>
      </c>
      <c r="R69" s="30"/>
      <c r="S69" s="30">
        <v>702006</v>
      </c>
      <c r="T69" s="30"/>
      <c r="U69" s="30">
        <v>901669</v>
      </c>
      <c r="V69" s="30"/>
      <c r="W69" s="30">
        <v>449047</v>
      </c>
      <c r="X69" s="30"/>
      <c r="Y69" s="30">
        <v>3424808</v>
      </c>
      <c r="Z69" s="30"/>
      <c r="AA69" s="30">
        <f>271734+7935</f>
        <v>279669</v>
      </c>
      <c r="AB69" s="30"/>
      <c r="AC69" s="30">
        <f t="shared" si="2"/>
        <v>29632137</v>
      </c>
      <c r="AD69" s="30"/>
      <c r="AE69" s="103">
        <f t="shared" si="3"/>
        <v>24576944</v>
      </c>
      <c r="AF69" s="33"/>
      <c r="AG69" s="30">
        <v>140000</v>
      </c>
      <c r="AH69" s="34"/>
      <c r="AI69" s="30">
        <v>10076171</v>
      </c>
      <c r="AJ69" s="34"/>
      <c r="AK69" s="30">
        <v>0</v>
      </c>
      <c r="AL69" s="34"/>
      <c r="AM69" s="34">
        <f>+'[1]Gov Fd Rv'!Q68+'[1]Gov Fd Rv'!S68-'[1]Gov Fnd Exp'!AC68-AG69+AI69-'[1]Gov Fd BS'!O68+AK69</f>
        <v>0</v>
      </c>
    </row>
    <row r="70" spans="1:39" ht="12.75">
      <c r="A70" s="32" t="s">
        <v>61</v>
      </c>
      <c r="B70" s="32"/>
      <c r="C70" s="30">
        <v>8993171</v>
      </c>
      <c r="D70" s="30"/>
      <c r="E70" s="30">
        <v>6357236</v>
      </c>
      <c r="F70" s="30"/>
      <c r="G70" s="30">
        <f>10500341+39178</f>
        <v>10539519</v>
      </c>
      <c r="H70" s="30"/>
      <c r="I70" s="30">
        <f>8463265+971299</f>
        <v>9434564</v>
      </c>
      <c r="J70" s="30"/>
      <c r="K70" s="30">
        <f>1317105+1346941</f>
        <v>2664046</v>
      </c>
      <c r="L70" s="30"/>
      <c r="M70" s="30">
        <v>40313877</v>
      </c>
      <c r="N70" s="30"/>
      <c r="O70" s="30">
        <v>0</v>
      </c>
      <c r="P70" s="30"/>
      <c r="Q70" s="30">
        <v>0</v>
      </c>
      <c r="R70" s="30"/>
      <c r="S70" s="30">
        <v>0</v>
      </c>
      <c r="T70" s="30"/>
      <c r="U70" s="30">
        <v>807370</v>
      </c>
      <c r="V70" s="30"/>
      <c r="W70" s="30">
        <v>0</v>
      </c>
      <c r="X70" s="30"/>
      <c r="Y70" s="30">
        <v>1209954</v>
      </c>
      <c r="Z70" s="30"/>
      <c r="AA70" s="30">
        <v>792619</v>
      </c>
      <c r="AB70" s="30"/>
      <c r="AC70" s="30">
        <f t="shared" si="2"/>
        <v>81112356</v>
      </c>
      <c r="AD70" s="30"/>
      <c r="AE70" s="103">
        <f t="shared" si="3"/>
        <v>78302413</v>
      </c>
      <c r="AF70" s="33"/>
      <c r="AG70" s="30">
        <v>4705495</v>
      </c>
      <c r="AH70" s="34"/>
      <c r="AI70" s="30">
        <v>35505316</v>
      </c>
      <c r="AJ70" s="34"/>
      <c r="AK70" s="30">
        <v>0</v>
      </c>
      <c r="AL70" s="34"/>
      <c r="AM70" s="34">
        <f>+'[1]Gov Fd Rv'!Q69+'[1]Gov Fd Rv'!S69-'[1]Gov Fnd Exp'!AC69-AG70+AI70-'[1]Gov Fd BS'!O69+AK70</f>
        <v>0</v>
      </c>
    </row>
    <row r="71" spans="1:39" ht="12.75">
      <c r="A71" s="32" t="s">
        <v>62</v>
      </c>
      <c r="B71" s="32"/>
      <c r="C71" s="30">
        <v>1642221</v>
      </c>
      <c r="D71" s="30"/>
      <c r="E71" s="30">
        <v>427649</v>
      </c>
      <c r="F71" s="30"/>
      <c r="G71" s="30">
        <v>1133206</v>
      </c>
      <c r="H71" s="30"/>
      <c r="I71" s="30">
        <v>3219184</v>
      </c>
      <c r="J71" s="30"/>
      <c r="K71" s="30">
        <v>873017</v>
      </c>
      <c r="L71" s="30"/>
      <c r="M71" s="30">
        <v>3702496</v>
      </c>
      <c r="N71" s="30"/>
      <c r="O71" s="30">
        <v>367010</v>
      </c>
      <c r="P71" s="30"/>
      <c r="Q71" s="30">
        <v>0</v>
      </c>
      <c r="R71" s="30"/>
      <c r="S71" s="30">
        <v>0</v>
      </c>
      <c r="T71" s="30"/>
      <c r="U71" s="30">
        <v>692346</v>
      </c>
      <c r="V71" s="30"/>
      <c r="W71" s="30">
        <v>125000</v>
      </c>
      <c r="X71" s="30"/>
      <c r="Y71" s="30">
        <v>107350</v>
      </c>
      <c r="Z71" s="30"/>
      <c r="AA71" s="30">
        <v>53791</v>
      </c>
      <c r="AB71" s="30"/>
      <c r="AC71" s="30">
        <f t="shared" si="2"/>
        <v>12343270</v>
      </c>
      <c r="AD71" s="30"/>
      <c r="AE71" s="103">
        <f t="shared" si="3"/>
        <v>11364783</v>
      </c>
      <c r="AF71" s="33"/>
      <c r="AG71" s="30">
        <v>41897</v>
      </c>
      <c r="AH71" s="34"/>
      <c r="AI71" s="30">
        <v>4960194</v>
      </c>
      <c r="AJ71" s="34"/>
      <c r="AK71" s="30">
        <v>0</v>
      </c>
      <c r="AL71" s="34"/>
      <c r="AM71" s="34">
        <f>+'[1]Gov Fd Rv'!Q70+'[1]Gov Fd Rv'!S70-'[1]Gov Fnd Exp'!AC70-AG71+AI71-'[1]Gov Fd BS'!O70+AK71</f>
        <v>0</v>
      </c>
    </row>
    <row r="72" spans="1:39" ht="12.75">
      <c r="A72" s="32" t="s">
        <v>63</v>
      </c>
      <c r="B72" s="32"/>
      <c r="C72" s="30">
        <v>4934228</v>
      </c>
      <c r="D72" s="30"/>
      <c r="E72" s="30">
        <v>2800194</v>
      </c>
      <c r="F72" s="30"/>
      <c r="G72" s="30">
        <v>6361467</v>
      </c>
      <c r="H72" s="30"/>
      <c r="I72" s="30">
        <v>6502666</v>
      </c>
      <c r="J72" s="30"/>
      <c r="K72" s="30">
        <v>153314</v>
      </c>
      <c r="L72" s="30"/>
      <c r="M72" s="30">
        <v>16836813</v>
      </c>
      <c r="N72" s="30"/>
      <c r="O72" s="30">
        <v>2599</v>
      </c>
      <c r="P72" s="30"/>
      <c r="Q72" s="30">
        <v>3632</v>
      </c>
      <c r="R72" s="30"/>
      <c r="S72" s="30">
        <v>390265</v>
      </c>
      <c r="T72" s="30"/>
      <c r="U72" s="30">
        <v>3438705</v>
      </c>
      <c r="V72" s="30"/>
      <c r="W72" s="30">
        <v>0</v>
      </c>
      <c r="X72" s="30"/>
      <c r="Y72" s="30">
        <v>1992849</v>
      </c>
      <c r="Z72" s="30"/>
      <c r="AA72" s="30">
        <v>1116615</v>
      </c>
      <c r="AB72" s="30"/>
      <c r="AC72" s="30">
        <f t="shared" si="2"/>
        <v>44533347</v>
      </c>
      <c r="AD72" s="30"/>
      <c r="AE72" s="103">
        <f t="shared" si="3"/>
        <v>37985178</v>
      </c>
      <c r="AF72" s="33"/>
      <c r="AG72" s="30">
        <v>3361734</v>
      </c>
      <c r="AH72" s="34"/>
      <c r="AI72" s="30">
        <v>21377258</v>
      </c>
      <c r="AJ72" s="34"/>
      <c r="AK72" s="30">
        <v>0</v>
      </c>
      <c r="AL72" s="34"/>
      <c r="AM72" s="34">
        <f>+'[1]Gov Fd Rv'!Q71+'[1]Gov Fd Rv'!S71-'[1]Gov Fnd Exp'!AC71-AG72+AI72-'[1]Gov Fd BS'!O71+AK72</f>
        <v>0</v>
      </c>
    </row>
    <row r="73" spans="1:39" ht="15" customHeight="1" hidden="1">
      <c r="A73" s="32" t="s">
        <v>132</v>
      </c>
      <c r="B73" s="3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>
        <f t="shared" si="2"/>
        <v>0</v>
      </c>
      <c r="AD73" s="30"/>
      <c r="AE73" s="103">
        <f t="shared" si="3"/>
        <v>0</v>
      </c>
      <c r="AF73" s="33"/>
      <c r="AG73" s="30"/>
      <c r="AH73" s="34"/>
      <c r="AI73" s="30"/>
      <c r="AJ73" s="34"/>
      <c r="AK73" s="30"/>
      <c r="AL73" s="34"/>
      <c r="AM73" s="34" t="e">
        <f>+'[1]Gov Fd Rv'!Q72+'[1]Gov Fd Rv'!S72-'[1]Gov Fnd Exp'!AC72-AG73+AI73-'[1]Gov Fd BS'!O72+AK73</f>
        <v>#REF!</v>
      </c>
    </row>
    <row r="74" spans="1:39" ht="12.75" hidden="1">
      <c r="A74" s="32" t="s">
        <v>64</v>
      </c>
      <c r="B74" s="3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>
        <f t="shared" si="2"/>
        <v>0</v>
      </c>
      <c r="AD74" s="30"/>
      <c r="AE74" s="103">
        <f t="shared" si="3"/>
        <v>0</v>
      </c>
      <c r="AF74" s="33"/>
      <c r="AG74" s="30"/>
      <c r="AH74" s="34"/>
      <c r="AI74" s="30"/>
      <c r="AJ74" s="34"/>
      <c r="AK74" s="30"/>
      <c r="AL74" s="34"/>
      <c r="AM74" s="34" t="e">
        <f>+'[1]Gov Fd Rv'!Q73+'[1]Gov Fd Rv'!S73-'[1]Gov Fnd Exp'!AC73-AG74+AI74-'[1]Gov Fd BS'!O73+AK74</f>
        <v>#REF!</v>
      </c>
    </row>
    <row r="75" spans="1:39" ht="12.75">
      <c r="A75" s="32" t="s">
        <v>65</v>
      </c>
      <c r="B75" s="32"/>
      <c r="C75" s="30">
        <v>3647467</v>
      </c>
      <c r="D75" s="30"/>
      <c r="E75" s="30">
        <v>2085442</v>
      </c>
      <c r="F75" s="30"/>
      <c r="G75" s="30">
        <v>6665339</v>
      </c>
      <c r="H75" s="30"/>
      <c r="I75" s="30">
        <v>5937777</v>
      </c>
      <c r="J75" s="30"/>
      <c r="K75" s="30">
        <v>4429319</v>
      </c>
      <c r="L75" s="30"/>
      <c r="M75" s="30">
        <v>9875863</v>
      </c>
      <c r="N75" s="30"/>
      <c r="O75" s="30">
        <v>631930</v>
      </c>
      <c r="P75" s="30"/>
      <c r="Q75" s="30">
        <v>556593</v>
      </c>
      <c r="R75" s="30"/>
      <c r="S75" s="30">
        <v>21880</v>
      </c>
      <c r="T75" s="30"/>
      <c r="U75" s="30">
        <v>573434</v>
      </c>
      <c r="V75" s="30"/>
      <c r="W75" s="30">
        <v>0</v>
      </c>
      <c r="X75" s="30"/>
      <c r="Y75" s="30">
        <v>493346</v>
      </c>
      <c r="Z75" s="30"/>
      <c r="AA75" s="30">
        <v>63632</v>
      </c>
      <c r="AB75" s="30"/>
      <c r="AC75" s="30">
        <f t="shared" si="2"/>
        <v>34982022</v>
      </c>
      <c r="AD75" s="30"/>
      <c r="AE75" s="103">
        <f t="shared" si="3"/>
        <v>33851610</v>
      </c>
      <c r="AF75" s="33"/>
      <c r="AG75" s="30">
        <v>505193</v>
      </c>
      <c r="AH75" s="34"/>
      <c r="AI75" s="30">
        <v>11971917</v>
      </c>
      <c r="AJ75" s="34"/>
      <c r="AK75" s="30">
        <v>0</v>
      </c>
      <c r="AL75" s="34"/>
      <c r="AM75" s="34" t="e">
        <f>+'[1]Gov Fd Rv'!Q74+'[1]Gov Fd Rv'!S74-'[1]Gov Fnd Exp'!AC74-AG75+AI75-'[1]Gov Fd BS'!O74+AK75</f>
        <v>#REF!</v>
      </c>
    </row>
    <row r="76" spans="1:39" ht="12.75">
      <c r="A76" s="32" t="s">
        <v>66</v>
      </c>
      <c r="B76" s="32"/>
      <c r="C76" s="30">
        <v>3008279</v>
      </c>
      <c r="D76" s="30"/>
      <c r="E76" s="30">
        <v>1272146</v>
      </c>
      <c r="F76" s="30"/>
      <c r="G76" s="30">
        <v>2609455</v>
      </c>
      <c r="H76" s="30"/>
      <c r="I76" s="30">
        <v>5521013</v>
      </c>
      <c r="J76" s="30"/>
      <c r="K76" s="30">
        <v>3097257</v>
      </c>
      <c r="L76" s="30"/>
      <c r="M76" s="30">
        <v>6534184</v>
      </c>
      <c r="N76" s="30"/>
      <c r="O76" s="30">
        <v>377232</v>
      </c>
      <c r="P76" s="30"/>
      <c r="Q76" s="30">
        <v>216499</v>
      </c>
      <c r="R76" s="30"/>
      <c r="S76" s="30">
        <v>0</v>
      </c>
      <c r="T76" s="30"/>
      <c r="U76" s="30">
        <v>2572464</v>
      </c>
      <c r="V76" s="30"/>
      <c r="W76" s="30">
        <v>0</v>
      </c>
      <c r="X76" s="30"/>
      <c r="Y76" s="30">
        <v>2972013</v>
      </c>
      <c r="Z76" s="30"/>
      <c r="AA76" s="30">
        <v>260710</v>
      </c>
      <c r="AB76" s="30"/>
      <c r="AC76" s="30">
        <f t="shared" si="2"/>
        <v>28441252</v>
      </c>
      <c r="AD76" s="30"/>
      <c r="AE76" s="103">
        <f t="shared" si="3"/>
        <v>22636065</v>
      </c>
      <c r="AF76" s="33"/>
      <c r="AG76" s="30">
        <v>499948</v>
      </c>
      <c r="AH76" s="34"/>
      <c r="AI76" s="30">
        <v>12149991</v>
      </c>
      <c r="AJ76" s="34"/>
      <c r="AK76" s="30">
        <v>0</v>
      </c>
      <c r="AL76" s="34"/>
      <c r="AM76" s="34" t="e">
        <f>+'[1]Gov Fd Rv'!Q75+'[1]Gov Fd Rv'!S75-'[1]Gov Fnd Exp'!AC75-AG76+AI76-'[1]Gov Fd BS'!O75+AK76</f>
        <v>#REF!</v>
      </c>
    </row>
    <row r="77" spans="1:39" ht="12.75">
      <c r="A77" s="32" t="s">
        <v>67</v>
      </c>
      <c r="B77" s="32"/>
      <c r="C77" s="30">
        <v>14812290</v>
      </c>
      <c r="D77" s="30"/>
      <c r="E77" s="30">
        <v>9614323</v>
      </c>
      <c r="F77" s="30"/>
      <c r="G77" s="30">
        <v>14787475</v>
      </c>
      <c r="H77" s="30"/>
      <c r="I77" s="30">
        <v>8195356</v>
      </c>
      <c r="J77" s="30"/>
      <c r="K77" s="30">
        <v>33076243</v>
      </c>
      <c r="L77" s="30"/>
      <c r="M77" s="30">
        <v>26350990</v>
      </c>
      <c r="N77" s="30"/>
      <c r="O77" s="30">
        <v>0</v>
      </c>
      <c r="P77" s="30"/>
      <c r="Q77" s="30">
        <v>0</v>
      </c>
      <c r="R77" s="30"/>
      <c r="S77" s="30">
        <v>0</v>
      </c>
      <c r="T77" s="30"/>
      <c r="U77" s="30">
        <v>2134970</v>
      </c>
      <c r="V77" s="30"/>
      <c r="W77" s="30">
        <v>0</v>
      </c>
      <c r="X77" s="30"/>
      <c r="Y77" s="30">
        <v>913715</v>
      </c>
      <c r="Z77" s="30"/>
      <c r="AA77" s="30">
        <v>892999</v>
      </c>
      <c r="AB77" s="30"/>
      <c r="AC77" s="30">
        <f t="shared" si="2"/>
        <v>110778361</v>
      </c>
      <c r="AD77" s="30"/>
      <c r="AE77" s="103">
        <f t="shared" si="3"/>
        <v>106836677</v>
      </c>
      <c r="AF77" s="33"/>
      <c r="AG77" s="30">
        <v>2895088</v>
      </c>
      <c r="AH77" s="34"/>
      <c r="AI77" s="30">
        <v>52237122</v>
      </c>
      <c r="AJ77" s="34"/>
      <c r="AK77" s="30">
        <v>0</v>
      </c>
      <c r="AL77" s="34"/>
      <c r="AM77" s="34" t="e">
        <f>+'[1]Gov Fd Rv'!Q76+'[1]Gov Fd Rv'!S76-'[1]Gov Fnd Exp'!AC76-AG77+AI77-'[1]Gov Fd BS'!O76+AK77</f>
        <v>#REF!</v>
      </c>
    </row>
    <row r="78" spans="1:39" ht="12.75">
      <c r="A78" s="32" t="s">
        <v>68</v>
      </c>
      <c r="B78" s="32"/>
      <c r="C78" s="30">
        <v>3723063</v>
      </c>
      <c r="D78" s="30"/>
      <c r="E78" s="30">
        <v>1964820</v>
      </c>
      <c r="F78" s="30"/>
      <c r="G78" s="30">
        <v>4965258</v>
      </c>
      <c r="H78" s="30"/>
      <c r="I78" s="30">
        <v>4026355</v>
      </c>
      <c r="J78" s="30"/>
      <c r="K78" s="30">
        <v>2923906</v>
      </c>
      <c r="L78" s="30"/>
      <c r="M78" s="30">
        <v>9520198</v>
      </c>
      <c r="N78" s="30"/>
      <c r="O78" s="30">
        <v>573201</v>
      </c>
      <c r="P78" s="30"/>
      <c r="Q78" s="30">
        <v>0</v>
      </c>
      <c r="R78" s="30"/>
      <c r="S78" s="30">
        <v>0</v>
      </c>
      <c r="T78" s="30"/>
      <c r="U78" s="30">
        <v>126884</v>
      </c>
      <c r="V78" s="30"/>
      <c r="W78" s="30">
        <v>314533</v>
      </c>
      <c r="X78" s="30"/>
      <c r="Y78" s="30">
        <f>491025+358000</f>
        <v>849025</v>
      </c>
      <c r="Z78" s="30"/>
      <c r="AA78" s="30">
        <v>122798</v>
      </c>
      <c r="AB78" s="30"/>
      <c r="AC78" s="30">
        <f t="shared" si="2"/>
        <v>29110041</v>
      </c>
      <c r="AD78" s="30"/>
      <c r="AE78" s="103">
        <f t="shared" si="3"/>
        <v>27696801</v>
      </c>
      <c r="AF78" s="33"/>
      <c r="AG78" s="30">
        <f>442642+1429063</f>
        <v>1871705</v>
      </c>
      <c r="AH78" s="34"/>
      <c r="AI78" s="30">
        <v>9092199</v>
      </c>
      <c r="AJ78" s="34"/>
      <c r="AK78" s="30">
        <v>0</v>
      </c>
      <c r="AL78" s="34"/>
      <c r="AM78" s="34" t="e">
        <f>+'[1]Gov Fd Rv'!Q77+'[1]Gov Fd Rv'!S77-'[1]Gov Fnd Exp'!AC77-AG78+'[1]Gov Fd Rv'!U77+AI78+AK78-'[1]Gov Fd BS'!O78</f>
        <v>#REF!</v>
      </c>
    </row>
    <row r="79" spans="1:39" ht="12.75" hidden="1">
      <c r="A79" s="32" t="s">
        <v>176</v>
      </c>
      <c r="B79" s="32"/>
      <c r="C79" s="30">
        <v>0</v>
      </c>
      <c r="D79" s="30"/>
      <c r="E79" s="30">
        <v>0</v>
      </c>
      <c r="F79" s="30"/>
      <c r="G79" s="30">
        <v>0</v>
      </c>
      <c r="H79" s="30"/>
      <c r="I79" s="30">
        <v>0</v>
      </c>
      <c r="J79" s="30"/>
      <c r="K79" s="30">
        <v>0</v>
      </c>
      <c r="L79" s="30"/>
      <c r="M79" s="30">
        <v>0</v>
      </c>
      <c r="N79" s="30"/>
      <c r="O79" s="30">
        <v>0</v>
      </c>
      <c r="P79" s="30"/>
      <c r="Q79" s="30">
        <v>0</v>
      </c>
      <c r="R79" s="30"/>
      <c r="S79" s="30">
        <v>0</v>
      </c>
      <c r="T79" s="30"/>
      <c r="U79" s="30">
        <v>0</v>
      </c>
      <c r="V79" s="30"/>
      <c r="W79" s="30">
        <v>0</v>
      </c>
      <c r="X79" s="30"/>
      <c r="Y79" s="30">
        <v>0</v>
      </c>
      <c r="Z79" s="30"/>
      <c r="AA79" s="30">
        <v>0</v>
      </c>
      <c r="AB79" s="30"/>
      <c r="AC79" s="30">
        <f t="shared" si="2"/>
        <v>0</v>
      </c>
      <c r="AD79" s="30"/>
      <c r="AE79" s="103">
        <f t="shared" si="3"/>
        <v>0</v>
      </c>
      <c r="AF79" s="33"/>
      <c r="AG79" s="30">
        <v>0</v>
      </c>
      <c r="AH79" s="34"/>
      <c r="AI79" s="30">
        <v>0</v>
      </c>
      <c r="AJ79" s="34"/>
      <c r="AK79" s="30">
        <v>0</v>
      </c>
      <c r="AL79" s="34"/>
      <c r="AM79" s="34" t="e">
        <f>+'[1]Gov Fd Rv'!Q78+'[1]Gov Fd Rv'!S78-'[1]Gov Fnd Exp'!AC78-AG79+'[1]Gov Fd Rv'!U78+AI79+AK79-'[1]Gov Fd BS'!O79</f>
        <v>#REF!</v>
      </c>
    </row>
    <row r="80" spans="1:39" ht="12.75">
      <c r="A80" s="32" t="s">
        <v>178</v>
      </c>
      <c r="B80" s="32"/>
      <c r="C80" s="30">
        <v>10715487</v>
      </c>
      <c r="D80" s="30"/>
      <c r="E80" s="30">
        <v>7695551</v>
      </c>
      <c r="F80" s="30"/>
      <c r="G80" s="30">
        <v>13376431</v>
      </c>
      <c r="H80" s="30"/>
      <c r="I80" s="30">
        <v>6369773</v>
      </c>
      <c r="J80" s="30"/>
      <c r="K80" s="30">
        <v>31691350</v>
      </c>
      <c r="L80" s="30"/>
      <c r="M80" s="30">
        <v>29963359</v>
      </c>
      <c r="N80" s="30"/>
      <c r="O80" s="30">
        <v>354382</v>
      </c>
      <c r="P80" s="30"/>
      <c r="Q80" s="30">
        <v>177470</v>
      </c>
      <c r="R80" s="30"/>
      <c r="S80" s="30">
        <v>30085</v>
      </c>
      <c r="T80" s="30"/>
      <c r="U80" s="30">
        <v>18540121</v>
      </c>
      <c r="V80" s="30"/>
      <c r="W80" s="30">
        <v>1313041</v>
      </c>
      <c r="X80" s="30"/>
      <c r="Y80" s="30">
        <v>19873068</v>
      </c>
      <c r="Z80" s="30"/>
      <c r="AA80" s="30">
        <f>1957694+225354</f>
        <v>2183048</v>
      </c>
      <c r="AB80" s="30"/>
      <c r="AC80" s="30">
        <f t="shared" si="2"/>
        <v>142283166</v>
      </c>
      <c r="AD80" s="30"/>
      <c r="AE80" s="103">
        <f t="shared" si="3"/>
        <v>100373888</v>
      </c>
      <c r="AF80" s="33"/>
      <c r="AG80" s="30">
        <v>5514805</v>
      </c>
      <c r="AH80" s="34"/>
      <c r="AI80" s="30">
        <v>41249591</v>
      </c>
      <c r="AJ80" s="34"/>
      <c r="AK80" s="30">
        <v>0</v>
      </c>
      <c r="AL80" s="34"/>
      <c r="AM80" s="34" t="e">
        <f>+'[1]Gov Fd Rv'!Q79+'[1]Gov Fd Rv'!S79-'[1]Gov Fnd Exp'!AC79-AG80+'[1]Gov Fd Rv'!U79+AI80+AK80-'[1]Gov Fd BS'!O80</f>
        <v>#REF!</v>
      </c>
    </row>
    <row r="81" spans="1:39" ht="12.75">
      <c r="A81" s="32" t="s">
        <v>69</v>
      </c>
      <c r="B81" s="32"/>
      <c r="C81" s="30">
        <v>5704735</v>
      </c>
      <c r="D81" s="30"/>
      <c r="E81" s="30">
        <v>3446009</v>
      </c>
      <c r="F81" s="30"/>
      <c r="G81" s="30">
        <v>10513625</v>
      </c>
      <c r="H81" s="30"/>
      <c r="I81" s="30">
        <v>5597375</v>
      </c>
      <c r="J81" s="30"/>
      <c r="K81" s="30">
        <v>618517</v>
      </c>
      <c r="L81" s="30"/>
      <c r="M81" s="30">
        <v>25695494</v>
      </c>
      <c r="N81" s="30"/>
      <c r="O81" s="30">
        <v>827859</v>
      </c>
      <c r="P81" s="30"/>
      <c r="Q81" s="30">
        <v>0</v>
      </c>
      <c r="R81" s="30"/>
      <c r="S81" s="30">
        <v>0</v>
      </c>
      <c r="T81" s="30"/>
      <c r="U81" s="30">
        <v>1489028</v>
      </c>
      <c r="V81" s="30"/>
      <c r="W81" s="30">
        <v>0</v>
      </c>
      <c r="X81" s="30"/>
      <c r="Y81" s="30">
        <v>3755734</v>
      </c>
      <c r="Z81" s="30"/>
      <c r="AA81" s="30">
        <v>647845</v>
      </c>
      <c r="AB81" s="30"/>
      <c r="AC81" s="30">
        <f t="shared" si="2"/>
        <v>58296221</v>
      </c>
      <c r="AD81" s="30"/>
      <c r="AE81" s="103">
        <f t="shared" si="3"/>
        <v>52403614</v>
      </c>
      <c r="AF81" s="33"/>
      <c r="AG81" s="30">
        <v>8432584</v>
      </c>
      <c r="AH81" s="34"/>
      <c r="AI81" s="30">
        <v>7526210</v>
      </c>
      <c r="AJ81" s="34"/>
      <c r="AK81" s="30">
        <v>0</v>
      </c>
      <c r="AL81" s="34"/>
      <c r="AM81" s="34" t="e">
        <f>+'[1]Gov Fd Rv'!Q80+'[1]Gov Fd Rv'!S80-'[1]Gov Fnd Exp'!AC80-AG81+'[1]Gov Fd Rv'!U80+AI81+AK81-'[1]Gov Fd BS'!O81</f>
        <v>#REF!</v>
      </c>
    </row>
    <row r="82" spans="1:39" ht="12.75">
      <c r="A82" s="32" t="s">
        <v>98</v>
      </c>
      <c r="B82" s="32"/>
      <c r="C82" s="30">
        <v>5858332</v>
      </c>
      <c r="D82" s="30"/>
      <c r="E82" s="30">
        <v>3389550</v>
      </c>
      <c r="F82" s="30"/>
      <c r="G82" s="30">
        <v>9362853</v>
      </c>
      <c r="H82" s="30"/>
      <c r="I82" s="30">
        <v>5411880</v>
      </c>
      <c r="J82" s="30"/>
      <c r="K82" s="30">
        <v>362482</v>
      </c>
      <c r="L82" s="30"/>
      <c r="M82" s="30">
        <v>21282460</v>
      </c>
      <c r="N82" s="30"/>
      <c r="O82" s="30">
        <v>355401</v>
      </c>
      <c r="P82" s="30"/>
      <c r="Q82" s="30">
        <v>0</v>
      </c>
      <c r="R82" s="30"/>
      <c r="S82" s="30">
        <v>534497</v>
      </c>
      <c r="T82" s="30"/>
      <c r="U82" s="30">
        <v>1512037</v>
      </c>
      <c r="V82" s="30"/>
      <c r="W82" s="30">
        <v>186600</v>
      </c>
      <c r="X82" s="30"/>
      <c r="Y82" s="30">
        <v>812035</v>
      </c>
      <c r="Z82" s="30"/>
      <c r="AA82" s="30">
        <v>251353</v>
      </c>
      <c r="AB82" s="30"/>
      <c r="AC82" s="30">
        <f t="shared" si="2"/>
        <v>49319480</v>
      </c>
      <c r="AD82" s="30"/>
      <c r="AE82" s="103">
        <f t="shared" si="3"/>
        <v>46557455</v>
      </c>
      <c r="AF82" s="33"/>
      <c r="AG82" s="30">
        <v>2469890</v>
      </c>
      <c r="AH82" s="34"/>
      <c r="AI82" s="30">
        <v>23106995</v>
      </c>
      <c r="AJ82" s="34"/>
      <c r="AK82" s="30">
        <v>0</v>
      </c>
      <c r="AL82" s="34"/>
      <c r="AM82" s="34" t="e">
        <f>+'[1]Gov Fd Rv'!Q81+'[1]Gov Fd Rv'!S81-'[1]Gov Fnd Exp'!AC81-AG82+'[1]Gov Fd Rv'!U81+AI82+AK82-'[1]Gov Fd BS'!O82</f>
        <v>#REF!</v>
      </c>
    </row>
    <row r="84" spans="1:39" s="97" customFormat="1" ht="12.75">
      <c r="A84" s="32"/>
      <c r="B84" s="3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 t="s">
        <v>253</v>
      </c>
      <c r="AD84" s="30"/>
      <c r="AE84" s="103"/>
      <c r="AF84" s="33"/>
      <c r="AG84" s="30"/>
      <c r="AH84" s="34"/>
      <c r="AI84" s="30"/>
      <c r="AJ84" s="34"/>
      <c r="AK84" s="34"/>
      <c r="AL84" s="34"/>
      <c r="AM84" s="34"/>
    </row>
    <row r="85" spans="1:39" ht="12.75">
      <c r="A85" s="32" t="s">
        <v>70</v>
      </c>
      <c r="B85" s="32"/>
      <c r="C85" s="47">
        <v>6921464</v>
      </c>
      <c r="D85" s="47"/>
      <c r="E85" s="47">
        <v>2606129</v>
      </c>
      <c r="F85" s="47"/>
      <c r="G85" s="47">
        <f>6261717+3122107</f>
        <v>9383824</v>
      </c>
      <c r="H85" s="47"/>
      <c r="I85" s="47">
        <v>4999347</v>
      </c>
      <c r="J85" s="47"/>
      <c r="K85" s="47">
        <v>8154862</v>
      </c>
      <c r="L85" s="47"/>
      <c r="M85" s="47">
        <v>18842760</v>
      </c>
      <c r="N85" s="47"/>
      <c r="O85" s="47">
        <v>1094610</v>
      </c>
      <c r="P85" s="47"/>
      <c r="Q85" s="47">
        <v>339437</v>
      </c>
      <c r="R85" s="47"/>
      <c r="S85" s="47">
        <v>1010306</v>
      </c>
      <c r="T85" s="47"/>
      <c r="U85" s="47">
        <v>2655575</v>
      </c>
      <c r="V85" s="47"/>
      <c r="W85" s="47">
        <v>0</v>
      </c>
      <c r="X85" s="47"/>
      <c r="Y85" s="47">
        <v>4522315</v>
      </c>
      <c r="Z85" s="47"/>
      <c r="AA85" s="47">
        <v>885380</v>
      </c>
      <c r="AB85" s="47"/>
      <c r="AC85" s="47">
        <f aca="true" t="shared" si="4" ref="AC85:AC91">SUM(C85:AA85)</f>
        <v>61416009</v>
      </c>
      <c r="AD85" s="47"/>
      <c r="AE85" s="130">
        <f aca="true" t="shared" si="5" ref="AE85:AE91">SUM(C85:S85)</f>
        <v>53352739</v>
      </c>
      <c r="AF85" s="44"/>
      <c r="AG85" s="47">
        <f>210000+3037828</f>
        <v>3247828</v>
      </c>
      <c r="AH85" s="131"/>
      <c r="AI85" s="47">
        <v>14503752</v>
      </c>
      <c r="AJ85" s="131"/>
      <c r="AK85" s="47">
        <v>0</v>
      </c>
      <c r="AL85" s="34"/>
      <c r="AM85" s="34">
        <f>+'Gov Fd Rv'!Q85+'Gov Fd Rv'!S85-'Gov Fnd Exp'!AC85-AG85+AI85-'Gov Fd BS'!O84+AK85</f>
        <v>0</v>
      </c>
    </row>
    <row r="86" spans="1:39" ht="12.75">
      <c r="A86" s="32" t="s">
        <v>71</v>
      </c>
      <c r="B86" s="32"/>
      <c r="C86" s="30">
        <v>5545719</v>
      </c>
      <c r="D86" s="30"/>
      <c r="E86" s="30">
        <v>2665937</v>
      </c>
      <c r="F86" s="30"/>
      <c r="G86" s="30">
        <v>6390299</v>
      </c>
      <c r="H86" s="30"/>
      <c r="I86" s="30">
        <v>3410129</v>
      </c>
      <c r="J86" s="30"/>
      <c r="K86" s="30">
        <v>7755262</v>
      </c>
      <c r="L86" s="30"/>
      <c r="M86" s="30">
        <v>10665197</v>
      </c>
      <c r="N86" s="30"/>
      <c r="O86" s="30">
        <v>189401</v>
      </c>
      <c r="P86" s="30"/>
      <c r="Q86" s="30">
        <v>604784</v>
      </c>
      <c r="R86" s="30"/>
      <c r="S86" s="30">
        <v>0</v>
      </c>
      <c r="T86" s="30"/>
      <c r="U86" s="30">
        <v>4407572</v>
      </c>
      <c r="V86" s="30"/>
      <c r="W86" s="30">
        <v>0</v>
      </c>
      <c r="X86" s="30"/>
      <c r="Y86" s="30">
        <v>370314</v>
      </c>
      <c r="Z86" s="30"/>
      <c r="AA86" s="30">
        <v>309019</v>
      </c>
      <c r="AB86" s="30"/>
      <c r="AC86" s="30">
        <f t="shared" si="4"/>
        <v>42313633</v>
      </c>
      <c r="AD86" s="30"/>
      <c r="AE86" s="103">
        <f t="shared" si="5"/>
        <v>37226728</v>
      </c>
      <c r="AF86" s="33"/>
      <c r="AG86" s="30">
        <v>1960438</v>
      </c>
      <c r="AH86" s="34"/>
      <c r="AI86" s="30">
        <v>17981088</v>
      </c>
      <c r="AJ86" s="34"/>
      <c r="AK86" s="30">
        <v>0</v>
      </c>
      <c r="AL86" s="34"/>
      <c r="AM86" s="34">
        <f>+'Gov Fd Rv'!Q86+'Gov Fd Rv'!S86-'Gov Fnd Exp'!AC86-AG86+AI86-'Gov Fd BS'!O85+AK86</f>
        <v>1710000</v>
      </c>
    </row>
    <row r="87" spans="1:39" ht="12.75">
      <c r="A87" s="32" t="s">
        <v>72</v>
      </c>
      <c r="B87" s="32"/>
      <c r="C87" s="30">
        <v>4667465</v>
      </c>
      <c r="D87" s="30"/>
      <c r="E87" s="30">
        <v>2727268</v>
      </c>
      <c r="F87" s="30"/>
      <c r="G87" s="30">
        <v>4711229</v>
      </c>
      <c r="H87" s="30"/>
      <c r="I87" s="30">
        <v>9135372</v>
      </c>
      <c r="J87" s="30"/>
      <c r="K87" s="30">
        <v>233998</v>
      </c>
      <c r="L87" s="30"/>
      <c r="M87" s="30">
        <v>16108637</v>
      </c>
      <c r="N87" s="30"/>
      <c r="O87" s="30">
        <v>292252</v>
      </c>
      <c r="P87" s="30"/>
      <c r="Q87" s="30">
        <v>0</v>
      </c>
      <c r="R87" s="30"/>
      <c r="S87" s="30">
        <v>0</v>
      </c>
      <c r="T87" s="30"/>
      <c r="U87" s="30">
        <v>879155</v>
      </c>
      <c r="V87" s="30"/>
      <c r="W87" s="30">
        <v>435055</v>
      </c>
      <c r="X87" s="30"/>
      <c r="Y87" s="30">
        <v>414903</v>
      </c>
      <c r="Z87" s="30"/>
      <c r="AA87" s="30">
        <v>60630</v>
      </c>
      <c r="AB87" s="30"/>
      <c r="AC87" s="30">
        <f t="shared" si="4"/>
        <v>39665964</v>
      </c>
      <c r="AD87" s="30"/>
      <c r="AE87" s="103">
        <f t="shared" si="5"/>
        <v>37876221</v>
      </c>
      <c r="AF87" s="33"/>
      <c r="AG87" s="30">
        <v>1027163</v>
      </c>
      <c r="AH87" s="34"/>
      <c r="AI87" s="30">
        <v>16814097</v>
      </c>
      <c r="AJ87" s="34"/>
      <c r="AK87" s="30">
        <v>0</v>
      </c>
      <c r="AL87" s="34"/>
      <c r="AM87" s="34">
        <f>+'Gov Fd Rv'!Q87+'Gov Fd Rv'!S87-'Gov Fnd Exp'!AC87-AG87+AI87-'Gov Fd BS'!O86+AK87</f>
        <v>0</v>
      </c>
    </row>
    <row r="88" spans="1:39" ht="12.75">
      <c r="A88" s="32" t="s">
        <v>73</v>
      </c>
      <c r="B88" s="32"/>
      <c r="C88" s="30">
        <v>20446747</v>
      </c>
      <c r="D88" s="30"/>
      <c r="E88" s="30">
        <v>16746257</v>
      </c>
      <c r="F88" s="30"/>
      <c r="G88" s="30">
        <v>26557309</v>
      </c>
      <c r="H88" s="30"/>
      <c r="I88" s="30">
        <v>16129838</v>
      </c>
      <c r="J88" s="30"/>
      <c r="K88" s="30">
        <v>80054933</v>
      </c>
      <c r="L88" s="30"/>
      <c r="M88" s="30">
        <v>70881548</v>
      </c>
      <c r="N88" s="30"/>
      <c r="O88" s="30">
        <v>0</v>
      </c>
      <c r="P88" s="30"/>
      <c r="Q88" s="30">
        <v>0</v>
      </c>
      <c r="R88" s="30"/>
      <c r="S88" s="30">
        <v>523167</v>
      </c>
      <c r="T88" s="30"/>
      <c r="U88" s="30">
        <v>9684316</v>
      </c>
      <c r="V88" s="30"/>
      <c r="W88" s="30">
        <v>8986247</v>
      </c>
      <c r="X88" s="30"/>
      <c r="Y88" s="30">
        <v>537964</v>
      </c>
      <c r="Z88" s="30"/>
      <c r="AA88" s="30">
        <v>262427</v>
      </c>
      <c r="AB88" s="30"/>
      <c r="AC88" s="30">
        <f t="shared" si="4"/>
        <v>250810753</v>
      </c>
      <c r="AD88" s="30"/>
      <c r="AE88" s="103">
        <f t="shared" si="5"/>
        <v>231339799</v>
      </c>
      <c r="AF88" s="33"/>
      <c r="AG88" s="30">
        <v>1930000</v>
      </c>
      <c r="AH88" s="34"/>
      <c r="AI88" s="30">
        <v>79319574</v>
      </c>
      <c r="AJ88" s="34"/>
      <c r="AK88" s="30">
        <v>0</v>
      </c>
      <c r="AL88" s="34"/>
      <c r="AM88" s="34">
        <f>+'Gov Fd Rv'!Q88+'Gov Fd Rv'!S88-'Gov Fnd Exp'!AC88-AG88+AI88-'Gov Fd BS'!O87+AK88</f>
        <v>1</v>
      </c>
    </row>
    <row r="89" spans="1:39" ht="12.75">
      <c r="A89" s="32" t="s">
        <v>74</v>
      </c>
      <c r="B89" s="32"/>
      <c r="C89" s="30">
        <v>36495778</v>
      </c>
      <c r="D89" s="30"/>
      <c r="E89" s="30">
        <v>29912460</v>
      </c>
      <c r="F89" s="30"/>
      <c r="G89" s="30">
        <v>72800137</v>
      </c>
      <c r="H89" s="30"/>
      <c r="I89" s="30">
        <v>17234049</v>
      </c>
      <c r="J89" s="30"/>
      <c r="K89" s="30">
        <v>122044829</v>
      </c>
      <c r="L89" s="30"/>
      <c r="M89" s="30">
        <v>131006076</v>
      </c>
      <c r="N89" s="30"/>
      <c r="O89" s="30">
        <v>3412790</v>
      </c>
      <c r="P89" s="30"/>
      <c r="Q89" s="30">
        <v>5821816</v>
      </c>
      <c r="R89" s="30"/>
      <c r="S89" s="30">
        <v>930578</v>
      </c>
      <c r="T89" s="30"/>
      <c r="U89" s="30">
        <v>5210268</v>
      </c>
      <c r="V89" s="30"/>
      <c r="W89" s="30">
        <v>341504</v>
      </c>
      <c r="X89" s="30"/>
      <c r="Y89" s="30">
        <v>10954729</v>
      </c>
      <c r="Z89" s="30"/>
      <c r="AA89" s="30">
        <v>3381765</v>
      </c>
      <c r="AB89" s="30"/>
      <c r="AC89" s="30">
        <f t="shared" si="4"/>
        <v>439546779</v>
      </c>
      <c r="AD89" s="30"/>
      <c r="AE89" s="103">
        <f t="shared" si="5"/>
        <v>419658513</v>
      </c>
      <c r="AF89" s="33"/>
      <c r="AG89" s="30">
        <v>8976293</v>
      </c>
      <c r="AH89" s="34"/>
      <c r="AI89" s="30">
        <v>165669315</v>
      </c>
      <c r="AJ89" s="34"/>
      <c r="AK89" s="30">
        <v>0</v>
      </c>
      <c r="AL89" s="34"/>
      <c r="AM89" s="34">
        <f>+'Gov Fd Rv'!Q89+'Gov Fd Rv'!S89-'Gov Fnd Exp'!AC89-AG89+AI89-'Gov Fd BS'!O88+AK89</f>
        <v>1</v>
      </c>
    </row>
    <row r="90" spans="1:39" ht="12.75">
      <c r="A90" s="32" t="s">
        <v>75</v>
      </c>
      <c r="B90" s="32"/>
      <c r="C90" s="30">
        <v>21889425</v>
      </c>
      <c r="D90" s="30"/>
      <c r="E90" s="30">
        <v>11678701</v>
      </c>
      <c r="F90" s="30"/>
      <c r="G90" s="30">
        <v>18444528</v>
      </c>
      <c r="H90" s="30"/>
      <c r="I90" s="30">
        <v>13313494</v>
      </c>
      <c r="J90" s="30"/>
      <c r="K90" s="30">
        <v>39626926</v>
      </c>
      <c r="L90" s="30"/>
      <c r="M90" s="30">
        <v>49949245</v>
      </c>
      <c r="N90" s="30"/>
      <c r="O90" s="30">
        <v>218579</v>
      </c>
      <c r="P90" s="30"/>
      <c r="Q90" s="30">
        <v>0</v>
      </c>
      <c r="R90" s="30"/>
      <c r="S90" s="30">
        <v>0</v>
      </c>
      <c r="T90" s="30"/>
      <c r="U90" s="30">
        <v>12426229</v>
      </c>
      <c r="V90" s="30"/>
      <c r="W90" s="30">
        <v>0</v>
      </c>
      <c r="X90" s="30"/>
      <c r="Y90" s="30">
        <f>6140000+3955858</f>
        <v>10095858</v>
      </c>
      <c r="Z90" s="30"/>
      <c r="AA90" s="30">
        <f>65649+2442847</f>
        <v>2508496</v>
      </c>
      <c r="AB90" s="30"/>
      <c r="AC90" s="30">
        <f t="shared" si="4"/>
        <v>180151481</v>
      </c>
      <c r="AD90" s="30"/>
      <c r="AE90" s="103">
        <f t="shared" si="5"/>
        <v>155120898</v>
      </c>
      <c r="AF90" s="33"/>
      <c r="AG90" s="30">
        <f>10707000+8219939</f>
        <v>18926939</v>
      </c>
      <c r="AH90" s="34"/>
      <c r="AI90" s="30">
        <v>66293072</v>
      </c>
      <c r="AJ90" s="34"/>
      <c r="AK90" s="30">
        <v>0</v>
      </c>
      <c r="AL90" s="34"/>
      <c r="AM90" s="34">
        <f>+'Gov Fd Rv'!Q90+'Gov Fd Rv'!S90-'Gov Fnd Exp'!AC90-AG90+AI90-'Gov Fd BS'!O89+AK90</f>
        <v>0</v>
      </c>
    </row>
    <row r="91" spans="1:39" ht="12.75">
      <c r="A91" s="32" t="s">
        <v>76</v>
      </c>
      <c r="B91" s="32"/>
      <c r="C91" s="30">
        <v>6380697</v>
      </c>
      <c r="D91" s="30"/>
      <c r="E91" s="30">
        <v>4132924</v>
      </c>
      <c r="F91" s="30"/>
      <c r="G91" s="30">
        <v>7037695</v>
      </c>
      <c r="H91" s="30"/>
      <c r="I91" s="30">
        <v>7922022</v>
      </c>
      <c r="J91" s="30"/>
      <c r="K91" s="30">
        <v>7078955</v>
      </c>
      <c r="L91" s="30"/>
      <c r="M91" s="30">
        <v>19401882</v>
      </c>
      <c r="N91" s="30"/>
      <c r="O91" s="30">
        <v>0</v>
      </c>
      <c r="P91" s="30"/>
      <c r="Q91" s="30">
        <v>443145</v>
      </c>
      <c r="R91" s="30"/>
      <c r="S91" s="30">
        <v>0</v>
      </c>
      <c r="T91" s="30"/>
      <c r="U91" s="30">
        <v>1940957</v>
      </c>
      <c r="V91" s="30"/>
      <c r="W91" s="30">
        <v>2507776</v>
      </c>
      <c r="X91" s="30"/>
      <c r="Y91" s="30">
        <v>50017</v>
      </c>
      <c r="Z91" s="30"/>
      <c r="AA91" s="30">
        <v>51615</v>
      </c>
      <c r="AB91" s="30"/>
      <c r="AC91" s="30">
        <f t="shared" si="4"/>
        <v>56947685</v>
      </c>
      <c r="AD91" s="30"/>
      <c r="AE91" s="103">
        <f t="shared" si="5"/>
        <v>52397320</v>
      </c>
      <c r="AF91" s="33"/>
      <c r="AG91" s="30">
        <v>8302757</v>
      </c>
      <c r="AH91" s="34"/>
      <c r="AI91" s="30">
        <v>45206647</v>
      </c>
      <c r="AJ91" s="34"/>
      <c r="AK91" s="30">
        <v>0</v>
      </c>
      <c r="AL91" s="34"/>
      <c r="AM91" s="34">
        <f>+'Gov Fd Rv'!Q91+'Gov Fd Rv'!S91-'Gov Fnd Exp'!AC91-AG91+AI91-'Gov Fd BS'!O90+AK91</f>
        <v>0</v>
      </c>
    </row>
    <row r="92" spans="1:39" s="39" customFormat="1" ht="12.75">
      <c r="A92" s="24" t="s">
        <v>77</v>
      </c>
      <c r="B92" s="24"/>
      <c r="C92" s="30">
        <v>11043570</v>
      </c>
      <c r="D92" s="30"/>
      <c r="E92" s="30">
        <v>2170932</v>
      </c>
      <c r="F92" s="30"/>
      <c r="G92" s="30">
        <v>6596109</v>
      </c>
      <c r="H92" s="30"/>
      <c r="I92" s="30">
        <v>5539221</v>
      </c>
      <c r="J92" s="30"/>
      <c r="K92" s="30">
        <v>3694242</v>
      </c>
      <c r="L92" s="30"/>
      <c r="M92" s="30">
        <v>13873946</v>
      </c>
      <c r="N92" s="30"/>
      <c r="O92" s="30">
        <v>296826</v>
      </c>
      <c r="P92" s="30"/>
      <c r="Q92" s="30">
        <v>0</v>
      </c>
      <c r="R92" s="30"/>
      <c r="S92" s="30">
        <v>638179</v>
      </c>
      <c r="T92" s="30"/>
      <c r="U92" s="30">
        <v>391053</v>
      </c>
      <c r="V92" s="30"/>
      <c r="W92" s="30">
        <v>0</v>
      </c>
      <c r="X92" s="30"/>
      <c r="Y92" s="30">
        <v>567807</v>
      </c>
      <c r="Z92" s="30"/>
      <c r="AA92" s="30">
        <v>325986</v>
      </c>
      <c r="AB92" s="30"/>
      <c r="AC92" s="30">
        <f t="shared" si="2"/>
        <v>45137871</v>
      </c>
      <c r="AD92" s="30"/>
      <c r="AE92" s="103">
        <f t="shared" si="3"/>
        <v>43853025</v>
      </c>
      <c r="AF92" s="24"/>
      <c r="AG92" s="30">
        <v>1746800</v>
      </c>
      <c r="AH92" s="102"/>
      <c r="AI92" s="30">
        <v>19467927</v>
      </c>
      <c r="AJ92" s="102"/>
      <c r="AK92" s="30">
        <v>0</v>
      </c>
      <c r="AL92" s="102"/>
      <c r="AM92" s="34">
        <f>+'Gov Fd Rv'!Q92+'Gov Fd Rv'!S92-'Gov Fnd Exp'!AC92-AG92+AI92-'Gov Fd BS'!O91+AK92</f>
        <v>-55049</v>
      </c>
    </row>
    <row r="93" spans="1:39" ht="12.75">
      <c r="A93" s="32" t="s">
        <v>78</v>
      </c>
      <c r="B93" s="32"/>
      <c r="C93" s="30">
        <v>4846762</v>
      </c>
      <c r="D93" s="30"/>
      <c r="E93" s="30">
        <v>1456527</v>
      </c>
      <c r="F93" s="30"/>
      <c r="G93" s="30">
        <v>3077175</v>
      </c>
      <c r="H93" s="30"/>
      <c r="I93" s="30">
        <v>3778400</v>
      </c>
      <c r="J93" s="30"/>
      <c r="K93" s="30">
        <v>92041</v>
      </c>
      <c r="L93" s="30"/>
      <c r="M93" s="30">
        <v>7290453</v>
      </c>
      <c r="N93" s="30"/>
      <c r="O93" s="30">
        <v>1276757</v>
      </c>
      <c r="P93" s="30"/>
      <c r="Q93" s="30">
        <v>16633</v>
      </c>
      <c r="R93" s="30"/>
      <c r="S93" s="30">
        <v>0</v>
      </c>
      <c r="T93" s="30"/>
      <c r="U93" s="30">
        <v>0</v>
      </c>
      <c r="V93" s="30"/>
      <c r="W93" s="30">
        <v>266906</v>
      </c>
      <c r="X93" s="30"/>
      <c r="Y93" s="30">
        <v>450218</v>
      </c>
      <c r="Z93" s="30"/>
      <c r="AA93" s="30">
        <v>290620</v>
      </c>
      <c r="AB93" s="30"/>
      <c r="AC93" s="30">
        <f t="shared" si="2"/>
        <v>22842492</v>
      </c>
      <c r="AD93" s="30"/>
      <c r="AE93" s="103">
        <f t="shared" si="3"/>
        <v>21834748</v>
      </c>
      <c r="AF93" s="33"/>
      <c r="AG93" s="30">
        <v>652082</v>
      </c>
      <c r="AH93" s="34"/>
      <c r="AI93" s="30">
        <v>3214962</v>
      </c>
      <c r="AJ93" s="34"/>
      <c r="AK93" s="30">
        <v>0</v>
      </c>
      <c r="AL93" s="34"/>
      <c r="AM93" s="34">
        <f>+'Gov Fd Rv'!Q93+'Gov Fd Rv'!S93-'Gov Fnd Exp'!AC93-AG93+AI93-'Gov Fd BS'!O92+AK93</f>
        <v>0</v>
      </c>
    </row>
    <row r="94" spans="1:39" ht="12.75" hidden="1">
      <c r="A94" s="32" t="s">
        <v>79</v>
      </c>
      <c r="B94" s="32"/>
      <c r="C94" s="30">
        <v>0</v>
      </c>
      <c r="D94" s="30"/>
      <c r="E94" s="30">
        <v>0</v>
      </c>
      <c r="F94" s="30"/>
      <c r="G94" s="30">
        <v>0</v>
      </c>
      <c r="H94" s="30"/>
      <c r="I94" s="30">
        <v>0</v>
      </c>
      <c r="J94" s="30"/>
      <c r="K94" s="30">
        <v>0</v>
      </c>
      <c r="L94" s="30"/>
      <c r="M94" s="30">
        <v>0</v>
      </c>
      <c r="N94" s="30"/>
      <c r="O94" s="30">
        <v>0</v>
      </c>
      <c r="P94" s="30"/>
      <c r="Q94" s="30">
        <v>0</v>
      </c>
      <c r="R94" s="30"/>
      <c r="S94" s="30">
        <v>0</v>
      </c>
      <c r="T94" s="30"/>
      <c r="U94" s="30">
        <v>0</v>
      </c>
      <c r="V94" s="30"/>
      <c r="W94" s="30">
        <v>0</v>
      </c>
      <c r="X94" s="30"/>
      <c r="Y94" s="30">
        <v>0</v>
      </c>
      <c r="Z94" s="30"/>
      <c r="AA94" s="30">
        <v>0</v>
      </c>
      <c r="AB94" s="30"/>
      <c r="AC94" s="30">
        <f t="shared" si="2"/>
        <v>0</v>
      </c>
      <c r="AD94" s="30"/>
      <c r="AE94" s="103">
        <f t="shared" si="3"/>
        <v>0</v>
      </c>
      <c r="AF94" s="33"/>
      <c r="AG94" s="30">
        <v>0</v>
      </c>
      <c r="AH94" s="34"/>
      <c r="AI94" s="30">
        <v>0</v>
      </c>
      <c r="AJ94" s="34"/>
      <c r="AK94" s="30">
        <v>0</v>
      </c>
      <c r="AL94" s="34"/>
      <c r="AM94" s="34" t="e">
        <f>+'[1]Gov Fd Rv'!Q92+'[1]Gov Fd Rv'!S92-'[1]Gov Fnd Exp'!AC92-AG94+'[1]Gov Fd Rv'!U92+AI94+AK94-'[1]Gov Fd BS'!O92</f>
        <v>#REF!</v>
      </c>
    </row>
    <row r="95" spans="1:39" ht="12.75">
      <c r="A95" s="32" t="s">
        <v>80</v>
      </c>
      <c r="B95" s="32"/>
      <c r="C95" s="30">
        <v>19871191</v>
      </c>
      <c r="D95" s="30"/>
      <c r="E95" s="30">
        <v>10760891</v>
      </c>
      <c r="F95" s="30"/>
      <c r="G95" s="30">
        <v>24789947</v>
      </c>
      <c r="H95" s="30"/>
      <c r="I95" s="30">
        <v>7596556</v>
      </c>
      <c r="J95" s="30"/>
      <c r="K95" s="30">
        <v>612110</v>
      </c>
      <c r="L95" s="30"/>
      <c r="M95" s="30">
        <v>38423877</v>
      </c>
      <c r="N95" s="30"/>
      <c r="O95" s="30">
        <v>1435989</v>
      </c>
      <c r="P95" s="30"/>
      <c r="Q95" s="30">
        <v>0</v>
      </c>
      <c r="R95" s="30"/>
      <c r="S95" s="30">
        <v>0</v>
      </c>
      <c r="T95" s="30"/>
      <c r="U95" s="30">
        <v>5601434</v>
      </c>
      <c r="V95" s="30"/>
      <c r="W95" s="30">
        <v>0</v>
      </c>
      <c r="X95" s="30"/>
      <c r="Y95" s="30">
        <v>1683670</v>
      </c>
      <c r="Z95" s="30"/>
      <c r="AA95" s="30">
        <v>1041485</v>
      </c>
      <c r="AB95" s="30"/>
      <c r="AC95" s="30">
        <f aca="true" t="shared" si="6" ref="AC95:AC100">SUM(C95:AA95)</f>
        <v>111817150</v>
      </c>
      <c r="AD95" s="30"/>
      <c r="AE95" s="103">
        <f aca="true" t="shared" si="7" ref="AE95:AE100">SUM(C95:S95)</f>
        <v>103490561</v>
      </c>
      <c r="AF95" s="33"/>
      <c r="AG95" s="30">
        <v>12257773</v>
      </c>
      <c r="AH95" s="34"/>
      <c r="AI95" s="30">
        <v>94406355</v>
      </c>
      <c r="AJ95" s="34"/>
      <c r="AK95" s="30">
        <v>-115888</v>
      </c>
      <c r="AL95" s="34"/>
      <c r="AM95" s="34">
        <f>+'Gov Fd Rv'!Q95+'Gov Fd Rv'!S95-'Gov Fnd Exp'!AC95-AG95+AI95-'Gov Fd BS'!O94+AK95</f>
        <v>0</v>
      </c>
    </row>
    <row r="96" spans="1:39" ht="12.75">
      <c r="A96" s="32" t="s">
        <v>81</v>
      </c>
      <c r="B96" s="32"/>
      <c r="C96" s="30">
        <v>5265701</v>
      </c>
      <c r="D96" s="30"/>
      <c r="E96" s="30">
        <v>1732932</v>
      </c>
      <c r="F96" s="30"/>
      <c r="G96" s="30">
        <v>7769927</v>
      </c>
      <c r="H96" s="30"/>
      <c r="I96" s="30">
        <v>8330474</v>
      </c>
      <c r="J96" s="30"/>
      <c r="K96" s="30">
        <f>5661942+6677442+2401614+246785</f>
        <v>14987783</v>
      </c>
      <c r="L96" s="30"/>
      <c r="M96" s="30">
        <f>884871+2640954+8758141+1563318</f>
        <v>13847284</v>
      </c>
      <c r="N96" s="30"/>
      <c r="O96" s="30">
        <v>667460</v>
      </c>
      <c r="P96" s="30"/>
      <c r="Q96" s="30">
        <v>0</v>
      </c>
      <c r="R96" s="30"/>
      <c r="S96" s="30">
        <v>0</v>
      </c>
      <c r="T96" s="30"/>
      <c r="U96" s="30">
        <v>0</v>
      </c>
      <c r="V96" s="30"/>
      <c r="W96" s="30">
        <v>1482159</v>
      </c>
      <c r="X96" s="30"/>
      <c r="Y96" s="30">
        <f>608562+407440</f>
        <v>1016002</v>
      </c>
      <c r="Z96" s="30"/>
      <c r="AA96" s="30">
        <v>399574</v>
      </c>
      <c r="AB96" s="30"/>
      <c r="AC96" s="30">
        <f t="shared" si="6"/>
        <v>55499296</v>
      </c>
      <c r="AD96" s="30"/>
      <c r="AE96" s="103">
        <f t="shared" si="7"/>
        <v>52601561</v>
      </c>
      <c r="AF96" s="33"/>
      <c r="AG96" s="30">
        <f>302000+1843732</f>
        <v>2145732</v>
      </c>
      <c r="AH96" s="34"/>
      <c r="AI96" s="30">
        <v>23789595</v>
      </c>
      <c r="AJ96" s="34"/>
      <c r="AK96" s="30">
        <v>0</v>
      </c>
      <c r="AL96" s="34"/>
      <c r="AM96" s="34">
        <f>+'Gov Fd Rv'!Q96+'Gov Fd Rv'!S96-'Gov Fnd Exp'!AC96-AG96+AI96-'Gov Fd BS'!O95+AK96</f>
        <v>0</v>
      </c>
    </row>
    <row r="97" spans="1:39" ht="12.75">
      <c r="A97" s="32" t="s">
        <v>82</v>
      </c>
      <c r="B97" s="32"/>
      <c r="C97" s="30">
        <v>9961381</v>
      </c>
      <c r="D97" s="30"/>
      <c r="E97" s="30">
        <v>5399957</v>
      </c>
      <c r="F97" s="30"/>
      <c r="G97" s="30">
        <v>10865957</v>
      </c>
      <c r="H97" s="30"/>
      <c r="I97" s="30">
        <v>7413497</v>
      </c>
      <c r="J97" s="30"/>
      <c r="K97" s="30">
        <v>513347</v>
      </c>
      <c r="L97" s="30"/>
      <c r="M97" s="30">
        <v>35973974</v>
      </c>
      <c r="N97" s="30"/>
      <c r="O97" s="30">
        <f>640261+193122</f>
        <v>833383</v>
      </c>
      <c r="P97" s="30"/>
      <c r="Q97" s="30">
        <v>86029</v>
      </c>
      <c r="R97" s="30"/>
      <c r="S97" s="30">
        <v>748260</v>
      </c>
      <c r="T97" s="30"/>
      <c r="U97" s="30">
        <v>5218826</v>
      </c>
      <c r="V97" s="30"/>
      <c r="W97" s="30">
        <v>0</v>
      </c>
      <c r="X97" s="30"/>
      <c r="Y97" s="30">
        <v>591000</v>
      </c>
      <c r="Z97" s="30"/>
      <c r="AA97" s="30">
        <v>484280</v>
      </c>
      <c r="AB97" s="30"/>
      <c r="AC97" s="30">
        <f t="shared" si="6"/>
        <v>78089891</v>
      </c>
      <c r="AD97" s="30"/>
      <c r="AE97" s="103">
        <f t="shared" si="7"/>
        <v>71795785</v>
      </c>
      <c r="AF97" s="33"/>
      <c r="AG97" s="30">
        <v>221796</v>
      </c>
      <c r="AH97" s="34"/>
      <c r="AI97" s="30">
        <v>37164557</v>
      </c>
      <c r="AJ97" s="34"/>
      <c r="AK97" s="30">
        <v>-1996</v>
      </c>
      <c r="AL97" s="34"/>
      <c r="AM97" s="34">
        <f>+'Gov Fd Rv'!Q97+'Gov Fd Rv'!S97-'Gov Fnd Exp'!AC97-AG97+AI97-'Gov Fd BS'!O96+AK97</f>
        <v>0</v>
      </c>
    </row>
    <row r="98" spans="1:39" ht="12.75" hidden="1">
      <c r="A98" s="32" t="s">
        <v>174</v>
      </c>
      <c r="B98" s="32"/>
      <c r="C98" s="30">
        <v>0</v>
      </c>
      <c r="D98" s="30"/>
      <c r="E98" s="30">
        <v>0</v>
      </c>
      <c r="F98" s="30"/>
      <c r="G98" s="30">
        <v>0</v>
      </c>
      <c r="H98" s="30"/>
      <c r="I98" s="30">
        <v>0</v>
      </c>
      <c r="J98" s="30"/>
      <c r="K98" s="30">
        <v>0</v>
      </c>
      <c r="L98" s="30"/>
      <c r="M98" s="30">
        <v>0</v>
      </c>
      <c r="N98" s="30"/>
      <c r="O98" s="30">
        <v>0</v>
      </c>
      <c r="P98" s="30"/>
      <c r="Q98" s="30">
        <v>0</v>
      </c>
      <c r="R98" s="30"/>
      <c r="S98" s="30">
        <v>0</v>
      </c>
      <c r="T98" s="30"/>
      <c r="U98" s="30">
        <v>0</v>
      </c>
      <c r="V98" s="30"/>
      <c r="W98" s="30">
        <v>0</v>
      </c>
      <c r="X98" s="30"/>
      <c r="Y98" s="30">
        <v>0</v>
      </c>
      <c r="Z98" s="30"/>
      <c r="AA98" s="30">
        <v>0</v>
      </c>
      <c r="AB98" s="30"/>
      <c r="AC98" s="30">
        <f t="shared" si="6"/>
        <v>0</v>
      </c>
      <c r="AD98" s="30"/>
      <c r="AE98" s="103">
        <f t="shared" si="7"/>
        <v>0</v>
      </c>
      <c r="AF98" s="33"/>
      <c r="AG98" s="30">
        <v>0</v>
      </c>
      <c r="AH98" s="34"/>
      <c r="AI98" s="30">
        <v>0</v>
      </c>
      <c r="AJ98" s="34"/>
      <c r="AK98" s="30">
        <v>0</v>
      </c>
      <c r="AL98" s="34"/>
      <c r="AM98" s="34">
        <f>+'Gov Fd Rv'!Q98+'Gov Fd Rv'!S98-'Gov Fnd Exp'!AC98-AG98+AI98-'Gov Fd BS'!O97+AK98</f>
        <v>0</v>
      </c>
    </row>
    <row r="99" spans="1:39" ht="12.75">
      <c r="A99" s="32" t="s">
        <v>83</v>
      </c>
      <c r="B99" s="32"/>
      <c r="C99" s="30">
        <f>17158087+502346</f>
        <v>17660433</v>
      </c>
      <c r="D99" s="30"/>
      <c r="E99" s="30">
        <v>7751373</v>
      </c>
      <c r="F99" s="30"/>
      <c r="G99" s="30">
        <v>7829141</v>
      </c>
      <c r="H99" s="30"/>
      <c r="I99" s="30">
        <v>10426922</v>
      </c>
      <c r="J99" s="30"/>
      <c r="K99" s="30">
        <v>14041751</v>
      </c>
      <c r="L99" s="30"/>
      <c r="M99" s="30">
        <v>39707613</v>
      </c>
      <c r="N99" s="30"/>
      <c r="O99" s="30">
        <v>1254359</v>
      </c>
      <c r="P99" s="30"/>
      <c r="Q99" s="30">
        <v>279988</v>
      </c>
      <c r="R99" s="30"/>
      <c r="S99" s="30">
        <v>435076</v>
      </c>
      <c r="T99" s="30"/>
      <c r="U99" s="30">
        <v>1572916</v>
      </c>
      <c r="V99" s="30"/>
      <c r="W99" s="30">
        <v>0</v>
      </c>
      <c r="X99" s="30"/>
      <c r="Y99" s="30">
        <f>89125+1220092</f>
        <v>1309217</v>
      </c>
      <c r="Z99" s="30"/>
      <c r="AA99" s="30">
        <f>446590+84236</f>
        <v>530826</v>
      </c>
      <c r="AB99" s="30"/>
      <c r="AC99" s="30">
        <f t="shared" si="6"/>
        <v>102799615</v>
      </c>
      <c r="AD99" s="30"/>
      <c r="AE99" s="103">
        <f t="shared" si="7"/>
        <v>99386656</v>
      </c>
      <c r="AF99" s="33"/>
      <c r="AG99" s="30">
        <f>3916890+2988135</f>
        <v>6905025</v>
      </c>
      <c r="AH99" s="34"/>
      <c r="AI99" s="30">
        <v>65621907</v>
      </c>
      <c r="AJ99" s="34"/>
      <c r="AK99" s="30">
        <v>0</v>
      </c>
      <c r="AL99" s="34"/>
      <c r="AM99" s="34">
        <f>+'Gov Fd Rv'!Q99+'Gov Fd Rv'!S99-'Gov Fnd Exp'!AC99-AG99+AI99-'Gov Fd BS'!O98+AK99</f>
        <v>0</v>
      </c>
    </row>
    <row r="100" spans="1:39" ht="12.75" hidden="1">
      <c r="A100" s="32" t="s">
        <v>175</v>
      </c>
      <c r="B100" s="32"/>
      <c r="C100" s="40">
        <v>0</v>
      </c>
      <c r="D100" s="40"/>
      <c r="E100" s="40">
        <v>0</v>
      </c>
      <c r="F100" s="30"/>
      <c r="G100" s="40">
        <v>0</v>
      </c>
      <c r="H100" s="30"/>
      <c r="I100" s="40">
        <v>0</v>
      </c>
      <c r="J100" s="30"/>
      <c r="K100" s="40">
        <v>0</v>
      </c>
      <c r="L100" s="30"/>
      <c r="M100" s="40">
        <v>0</v>
      </c>
      <c r="N100" s="30"/>
      <c r="O100" s="40">
        <v>0</v>
      </c>
      <c r="P100" s="30"/>
      <c r="Q100" s="40">
        <v>0</v>
      </c>
      <c r="R100" s="30"/>
      <c r="S100" s="40">
        <v>0</v>
      </c>
      <c r="T100" s="30"/>
      <c r="U100" s="40">
        <v>0</v>
      </c>
      <c r="V100" s="30"/>
      <c r="W100" s="40">
        <v>0</v>
      </c>
      <c r="X100" s="30"/>
      <c r="Y100" s="40">
        <v>0</v>
      </c>
      <c r="Z100" s="30"/>
      <c r="AA100" s="40">
        <v>0</v>
      </c>
      <c r="AB100" s="30"/>
      <c r="AC100" s="30">
        <f t="shared" si="6"/>
        <v>0</v>
      </c>
      <c r="AD100" s="30"/>
      <c r="AE100" s="103">
        <f t="shared" si="7"/>
        <v>0</v>
      </c>
      <c r="AF100" s="24"/>
      <c r="AG100" s="40">
        <v>0</v>
      </c>
      <c r="AH100" s="34"/>
      <c r="AI100" s="40">
        <v>0</v>
      </c>
      <c r="AJ100" s="34"/>
      <c r="AK100" s="40">
        <v>0</v>
      </c>
      <c r="AL100" s="34"/>
      <c r="AM100" s="34">
        <f>+'Gov Fd Rv'!Q100+'Gov Fd Rv'!S100-'Gov Fnd Exp'!AC100-AG100+'Gov Fd Rv'!U100+AI100+AK100-'Gov Fd BS'!O99</f>
        <v>-14729054</v>
      </c>
    </row>
    <row r="101" spans="1:39" ht="12.75">
      <c r="A101" s="32"/>
      <c r="B101" s="3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34"/>
      <c r="AI101" s="24"/>
      <c r="AJ101" s="34"/>
      <c r="AK101" s="24"/>
      <c r="AL101" s="34"/>
      <c r="AM101" s="34"/>
    </row>
    <row r="102" spans="1:39" ht="12.75">
      <c r="A102" s="32"/>
      <c r="B102" s="32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34"/>
      <c r="AI102" s="24"/>
      <c r="AJ102" s="34"/>
      <c r="AK102" s="24"/>
      <c r="AL102" s="34"/>
      <c r="AM102" s="34"/>
    </row>
    <row r="103" spans="3:39" ht="12.75"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39"/>
      <c r="AG103" s="102"/>
      <c r="AH103" s="34"/>
      <c r="AI103" s="102"/>
      <c r="AJ103" s="34"/>
      <c r="AK103" s="102"/>
      <c r="AL103" s="34"/>
      <c r="AM103" s="34"/>
    </row>
    <row r="104" spans="3:39" ht="12.75"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39"/>
      <c r="AG104" s="102"/>
      <c r="AH104" s="34"/>
      <c r="AI104" s="102"/>
      <c r="AJ104" s="34"/>
      <c r="AK104" s="102"/>
      <c r="AL104" s="34"/>
      <c r="AM104" s="34"/>
    </row>
    <row r="105" spans="3:39" ht="12.75"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39"/>
      <c r="AG105" s="102"/>
      <c r="AH105" s="34"/>
      <c r="AI105" s="102"/>
      <c r="AJ105" s="34"/>
      <c r="AK105" s="102"/>
      <c r="AL105" s="34"/>
      <c r="AM105" s="34"/>
    </row>
    <row r="106" spans="33:39" ht="12.75">
      <c r="AG106" s="34"/>
      <c r="AH106" s="34"/>
      <c r="AI106" s="34"/>
      <c r="AJ106" s="34"/>
      <c r="AK106" s="34"/>
      <c r="AL106" s="34"/>
      <c r="AM106" s="34"/>
    </row>
    <row r="107" spans="33:39" ht="12.75">
      <c r="AG107" s="99"/>
      <c r="AH107" s="34"/>
      <c r="AI107" s="34"/>
      <c r="AJ107" s="34"/>
      <c r="AK107" s="34"/>
      <c r="AL107" s="34"/>
      <c r="AM107" s="34"/>
    </row>
    <row r="108" spans="33:39" ht="12.75">
      <c r="AG108" s="34"/>
      <c r="AH108" s="34"/>
      <c r="AI108" s="34"/>
      <c r="AJ108" s="34"/>
      <c r="AK108" s="34"/>
      <c r="AL108" s="34"/>
      <c r="AM108" s="34"/>
    </row>
    <row r="109" spans="33:39" ht="12.75">
      <c r="AG109" s="34"/>
      <c r="AH109" s="34"/>
      <c r="AI109" s="34"/>
      <c r="AJ109" s="34"/>
      <c r="AK109" s="34"/>
      <c r="AL109" s="34"/>
      <c r="AM109" s="34"/>
    </row>
    <row r="110" spans="33:39" ht="12.75">
      <c r="AG110" s="34"/>
      <c r="AH110" s="34"/>
      <c r="AI110" s="34"/>
      <c r="AJ110" s="34"/>
      <c r="AK110" s="34"/>
      <c r="AL110" s="34"/>
      <c r="AM110" s="34"/>
    </row>
    <row r="111" spans="33:39" ht="12.75">
      <c r="AG111" s="34"/>
      <c r="AH111" s="34"/>
      <c r="AI111" s="34"/>
      <c r="AJ111" s="34"/>
      <c r="AK111" s="34"/>
      <c r="AL111" s="34"/>
      <c r="AM111" s="34"/>
    </row>
    <row r="112" spans="33:39" ht="12.75">
      <c r="AG112" s="34"/>
      <c r="AH112" s="34"/>
      <c r="AI112" s="34"/>
      <c r="AJ112" s="34"/>
      <c r="AK112" s="34"/>
      <c r="AL112" s="34"/>
      <c r="AM112" s="34"/>
    </row>
    <row r="113" spans="33:39" s="26" customFormat="1" ht="12.75">
      <c r="AG113" s="34"/>
      <c r="AH113" s="34"/>
      <c r="AI113" s="34"/>
      <c r="AJ113" s="34"/>
      <c r="AK113" s="34"/>
      <c r="AL113" s="34"/>
      <c r="AM113" s="34"/>
    </row>
    <row r="114" spans="33:39" s="26" customFormat="1" ht="12.75">
      <c r="AG114" s="34"/>
      <c r="AH114" s="34"/>
      <c r="AI114" s="34"/>
      <c r="AJ114" s="34"/>
      <c r="AK114" s="34"/>
      <c r="AL114" s="34"/>
      <c r="AM114" s="34"/>
    </row>
    <row r="115" spans="33:39" s="26" customFormat="1" ht="12.75">
      <c r="AG115" s="34"/>
      <c r="AH115" s="34"/>
      <c r="AI115" s="34"/>
      <c r="AJ115" s="34"/>
      <c r="AK115" s="34"/>
      <c r="AL115" s="34"/>
      <c r="AM115" s="34"/>
    </row>
    <row r="116" spans="33:39" s="26" customFormat="1" ht="12.75">
      <c r="AG116" s="34"/>
      <c r="AH116" s="34"/>
      <c r="AI116" s="34"/>
      <c r="AJ116" s="34"/>
      <c r="AK116" s="34"/>
      <c r="AL116" s="34"/>
      <c r="AM116" s="34"/>
    </row>
    <row r="117" spans="33:39" s="26" customFormat="1" ht="12.75">
      <c r="AG117" s="34"/>
      <c r="AH117" s="34"/>
      <c r="AI117" s="34"/>
      <c r="AJ117" s="34"/>
      <c r="AK117" s="34"/>
      <c r="AL117" s="34"/>
      <c r="AM117" s="34"/>
    </row>
    <row r="118" spans="33:39" s="26" customFormat="1" ht="12.75">
      <c r="AG118" s="34"/>
      <c r="AH118" s="34"/>
      <c r="AI118" s="34"/>
      <c r="AJ118" s="34"/>
      <c r="AK118" s="34"/>
      <c r="AL118" s="34"/>
      <c r="AM118" s="34"/>
    </row>
    <row r="119" spans="33:39" s="26" customFormat="1" ht="12.75">
      <c r="AG119" s="34"/>
      <c r="AH119" s="34"/>
      <c r="AI119" s="34"/>
      <c r="AJ119" s="34"/>
      <c r="AK119" s="34"/>
      <c r="AL119" s="34"/>
      <c r="AM119" s="34"/>
    </row>
    <row r="120" spans="33:39" s="26" customFormat="1" ht="12.75">
      <c r="AG120" s="34"/>
      <c r="AH120" s="34"/>
      <c r="AI120" s="34"/>
      <c r="AJ120" s="34"/>
      <c r="AK120" s="34"/>
      <c r="AL120" s="34"/>
      <c r="AM120" s="34"/>
    </row>
    <row r="121" spans="33:39" s="26" customFormat="1" ht="12.75">
      <c r="AG121" s="34"/>
      <c r="AH121" s="34"/>
      <c r="AI121" s="34"/>
      <c r="AJ121" s="34"/>
      <c r="AK121" s="34"/>
      <c r="AL121" s="34"/>
      <c r="AM121" s="34"/>
    </row>
    <row r="122" spans="33:39" s="26" customFormat="1" ht="12.75">
      <c r="AG122" s="34"/>
      <c r="AH122" s="34"/>
      <c r="AI122" s="34"/>
      <c r="AJ122" s="34"/>
      <c r="AK122" s="34"/>
      <c r="AL122" s="34"/>
      <c r="AM122" s="34"/>
    </row>
    <row r="123" spans="33:39" s="26" customFormat="1" ht="12.75">
      <c r="AG123" s="34"/>
      <c r="AH123" s="34"/>
      <c r="AI123" s="34"/>
      <c r="AJ123" s="34"/>
      <c r="AK123" s="34"/>
      <c r="AL123" s="34"/>
      <c r="AM123" s="34"/>
    </row>
    <row r="124" spans="33:39" s="26" customFormat="1" ht="12.75">
      <c r="AG124" s="34"/>
      <c r="AH124" s="34"/>
      <c r="AI124" s="34"/>
      <c r="AJ124" s="34"/>
      <c r="AK124" s="34"/>
      <c r="AL124" s="34"/>
      <c r="AM124" s="34"/>
    </row>
    <row r="125" spans="33:39" s="26" customFormat="1" ht="12.75">
      <c r="AG125" s="34"/>
      <c r="AH125" s="34"/>
      <c r="AI125" s="34"/>
      <c r="AJ125" s="34"/>
      <c r="AK125" s="34"/>
      <c r="AL125" s="34"/>
      <c r="AM125" s="34"/>
    </row>
    <row r="126" spans="33:39" s="26" customFormat="1" ht="12.75">
      <c r="AG126" s="34"/>
      <c r="AH126" s="34"/>
      <c r="AI126" s="34"/>
      <c r="AJ126" s="34"/>
      <c r="AK126" s="34"/>
      <c r="AL126" s="34"/>
      <c r="AM126" s="34"/>
    </row>
    <row r="127" spans="33:39" s="26" customFormat="1" ht="12.75">
      <c r="AG127" s="34"/>
      <c r="AH127" s="34"/>
      <c r="AI127" s="34"/>
      <c r="AJ127" s="34"/>
      <c r="AK127" s="34"/>
      <c r="AL127" s="34"/>
      <c r="AM127" s="34"/>
    </row>
    <row r="128" spans="33:39" s="26" customFormat="1" ht="12.75">
      <c r="AG128" s="34"/>
      <c r="AH128" s="34"/>
      <c r="AI128" s="34"/>
      <c r="AJ128" s="34"/>
      <c r="AK128" s="34"/>
      <c r="AL128" s="34"/>
      <c r="AM128" s="34"/>
    </row>
    <row r="129" spans="33:39" s="26" customFormat="1" ht="12.75">
      <c r="AG129" s="34"/>
      <c r="AH129" s="34"/>
      <c r="AI129" s="34"/>
      <c r="AJ129" s="34"/>
      <c r="AK129" s="34"/>
      <c r="AL129" s="34"/>
      <c r="AM129" s="34"/>
    </row>
    <row r="130" spans="33:39" s="26" customFormat="1" ht="12.75">
      <c r="AG130" s="34"/>
      <c r="AH130" s="34"/>
      <c r="AI130" s="34"/>
      <c r="AJ130" s="34"/>
      <c r="AK130" s="34"/>
      <c r="AL130" s="34"/>
      <c r="AM130" s="34"/>
    </row>
    <row r="131" spans="33:39" s="26" customFormat="1" ht="12.75">
      <c r="AG131" s="34"/>
      <c r="AH131" s="34"/>
      <c r="AI131" s="34"/>
      <c r="AJ131" s="34"/>
      <c r="AK131" s="34"/>
      <c r="AL131" s="34"/>
      <c r="AM131" s="34"/>
    </row>
    <row r="132" spans="33:39" s="26" customFormat="1" ht="12.75">
      <c r="AG132" s="34"/>
      <c r="AH132" s="34"/>
      <c r="AI132" s="34"/>
      <c r="AJ132" s="34"/>
      <c r="AK132" s="34"/>
      <c r="AL132" s="34"/>
      <c r="AM132" s="34"/>
    </row>
    <row r="133" spans="33:39" s="26" customFormat="1" ht="12.75">
      <c r="AG133" s="34"/>
      <c r="AH133" s="34"/>
      <c r="AI133" s="34"/>
      <c r="AJ133" s="34"/>
      <c r="AK133" s="34"/>
      <c r="AL133" s="34"/>
      <c r="AM133" s="34"/>
    </row>
    <row r="134" spans="33:39" s="26" customFormat="1" ht="12.75">
      <c r="AG134" s="34"/>
      <c r="AH134" s="34"/>
      <c r="AI134" s="34"/>
      <c r="AJ134" s="34"/>
      <c r="AK134" s="34"/>
      <c r="AL134" s="34"/>
      <c r="AM134" s="34"/>
    </row>
    <row r="135" spans="33:39" s="26" customFormat="1" ht="12.75">
      <c r="AG135" s="34"/>
      <c r="AH135" s="34"/>
      <c r="AI135" s="34"/>
      <c r="AJ135" s="34"/>
      <c r="AK135" s="34"/>
      <c r="AL135" s="34"/>
      <c r="AM135" s="34"/>
    </row>
    <row r="136" spans="33:39" s="26" customFormat="1" ht="12.75">
      <c r="AG136" s="34"/>
      <c r="AH136" s="34"/>
      <c r="AI136" s="34"/>
      <c r="AJ136" s="34"/>
      <c r="AK136" s="34"/>
      <c r="AL136" s="34"/>
      <c r="AM136" s="34"/>
    </row>
    <row r="137" spans="33:39" s="26" customFormat="1" ht="12.75">
      <c r="AG137" s="34"/>
      <c r="AH137" s="34"/>
      <c r="AI137" s="34"/>
      <c r="AJ137" s="34"/>
      <c r="AK137" s="34"/>
      <c r="AL137" s="34"/>
      <c r="AM137" s="34"/>
    </row>
    <row r="138" spans="33:39" s="26" customFormat="1" ht="12.75">
      <c r="AG138" s="34"/>
      <c r="AH138" s="34"/>
      <c r="AI138" s="34"/>
      <c r="AJ138" s="34"/>
      <c r="AK138" s="34"/>
      <c r="AL138" s="34"/>
      <c r="AM138" s="34"/>
    </row>
    <row r="139" spans="33:39" s="26" customFormat="1" ht="12.75">
      <c r="AG139" s="34"/>
      <c r="AH139" s="34"/>
      <c r="AI139" s="34"/>
      <c r="AJ139" s="34"/>
      <c r="AK139" s="34"/>
      <c r="AL139" s="34"/>
      <c r="AM139" s="34"/>
    </row>
    <row r="140" spans="33:39" s="26" customFormat="1" ht="12.75">
      <c r="AG140" s="34"/>
      <c r="AH140" s="34"/>
      <c r="AI140" s="34"/>
      <c r="AJ140" s="34"/>
      <c r="AK140" s="34"/>
      <c r="AL140" s="34"/>
      <c r="AM140" s="34"/>
    </row>
    <row r="141" spans="33:39" s="26" customFormat="1" ht="12.75">
      <c r="AG141" s="34"/>
      <c r="AH141" s="34"/>
      <c r="AI141" s="34"/>
      <c r="AJ141" s="34"/>
      <c r="AK141" s="34"/>
      <c r="AL141" s="34"/>
      <c r="AM141" s="34"/>
    </row>
    <row r="142" spans="33:39" s="26" customFormat="1" ht="12.75">
      <c r="AG142" s="34"/>
      <c r="AH142" s="34"/>
      <c r="AI142" s="34"/>
      <c r="AJ142" s="34"/>
      <c r="AK142" s="34"/>
      <c r="AL142" s="34"/>
      <c r="AM142" s="34"/>
    </row>
    <row r="143" spans="33:39" s="26" customFormat="1" ht="12.75">
      <c r="AG143" s="34"/>
      <c r="AH143" s="34"/>
      <c r="AI143" s="34"/>
      <c r="AJ143" s="34"/>
      <c r="AK143" s="34"/>
      <c r="AL143" s="34"/>
      <c r="AM143" s="34"/>
    </row>
    <row r="144" spans="33:39" s="26" customFormat="1" ht="12.75">
      <c r="AG144" s="34"/>
      <c r="AH144" s="34"/>
      <c r="AI144" s="34"/>
      <c r="AJ144" s="34"/>
      <c r="AK144" s="34"/>
      <c r="AL144" s="34"/>
      <c r="AM144" s="34"/>
    </row>
    <row r="145" spans="33:39" s="26" customFormat="1" ht="12.75">
      <c r="AG145" s="34"/>
      <c r="AH145" s="34"/>
      <c r="AI145" s="34"/>
      <c r="AJ145" s="34"/>
      <c r="AK145" s="34"/>
      <c r="AL145" s="34"/>
      <c r="AM145" s="34"/>
    </row>
    <row r="146" spans="33:39" s="26" customFormat="1" ht="12.75">
      <c r="AG146" s="34"/>
      <c r="AH146" s="34"/>
      <c r="AI146" s="34"/>
      <c r="AJ146" s="34"/>
      <c r="AK146" s="34"/>
      <c r="AL146" s="34"/>
      <c r="AM146" s="34"/>
    </row>
    <row r="147" spans="33:39" s="26" customFormat="1" ht="12.75">
      <c r="AG147" s="34"/>
      <c r="AH147" s="34"/>
      <c r="AI147" s="34"/>
      <c r="AJ147" s="34"/>
      <c r="AK147" s="34"/>
      <c r="AL147" s="34"/>
      <c r="AM147" s="34"/>
    </row>
    <row r="148" spans="33:39" s="26" customFormat="1" ht="12.75">
      <c r="AG148" s="34"/>
      <c r="AH148" s="34"/>
      <c r="AI148" s="34"/>
      <c r="AJ148" s="34"/>
      <c r="AK148" s="34"/>
      <c r="AL148" s="34"/>
      <c r="AM148" s="34"/>
    </row>
    <row r="149" spans="33:39" s="26" customFormat="1" ht="12.75">
      <c r="AG149" s="34"/>
      <c r="AH149" s="34"/>
      <c r="AI149" s="34"/>
      <c r="AJ149" s="34"/>
      <c r="AK149" s="34"/>
      <c r="AL149" s="34"/>
      <c r="AM149" s="34"/>
    </row>
    <row r="150" spans="33:39" s="26" customFormat="1" ht="12.75">
      <c r="AG150" s="34"/>
      <c r="AH150" s="34"/>
      <c r="AI150" s="34"/>
      <c r="AJ150" s="34"/>
      <c r="AK150" s="34"/>
      <c r="AL150" s="34"/>
      <c r="AM150" s="34"/>
    </row>
    <row r="151" spans="33:39" s="26" customFormat="1" ht="12.75">
      <c r="AG151" s="34"/>
      <c r="AH151" s="34"/>
      <c r="AI151" s="34"/>
      <c r="AJ151" s="34"/>
      <c r="AK151" s="34"/>
      <c r="AL151" s="34"/>
      <c r="AM151" s="34"/>
    </row>
    <row r="152" spans="33:39" s="26" customFormat="1" ht="12.75">
      <c r="AG152" s="34"/>
      <c r="AH152" s="34"/>
      <c r="AI152" s="34"/>
      <c r="AJ152" s="34"/>
      <c r="AK152" s="34"/>
      <c r="AL152" s="34"/>
      <c r="AM152" s="34"/>
    </row>
    <row r="153" spans="33:39" s="26" customFormat="1" ht="12.75">
      <c r="AG153" s="34"/>
      <c r="AH153" s="34"/>
      <c r="AI153" s="34"/>
      <c r="AJ153" s="34"/>
      <c r="AK153" s="34"/>
      <c r="AL153" s="34"/>
      <c r="AM153" s="34"/>
    </row>
    <row r="154" spans="33:39" s="26" customFormat="1" ht="12.75">
      <c r="AG154" s="34"/>
      <c r="AH154" s="34"/>
      <c r="AI154" s="34"/>
      <c r="AJ154" s="34"/>
      <c r="AK154" s="34"/>
      <c r="AL154" s="34"/>
      <c r="AM154" s="34"/>
    </row>
    <row r="155" spans="33:39" s="26" customFormat="1" ht="12.75">
      <c r="AG155" s="34"/>
      <c r="AH155" s="34"/>
      <c r="AI155" s="34"/>
      <c r="AJ155" s="34"/>
      <c r="AK155" s="34"/>
      <c r="AL155" s="34"/>
      <c r="AM155" s="34"/>
    </row>
    <row r="156" spans="33:39" s="26" customFormat="1" ht="12.75">
      <c r="AG156" s="34"/>
      <c r="AH156" s="34"/>
      <c r="AI156" s="34"/>
      <c r="AJ156" s="34"/>
      <c r="AK156" s="34"/>
      <c r="AL156" s="34"/>
      <c r="AM156" s="34"/>
    </row>
    <row r="157" spans="33:39" s="26" customFormat="1" ht="12.75">
      <c r="AG157" s="34"/>
      <c r="AH157" s="34"/>
      <c r="AI157" s="34"/>
      <c r="AJ157" s="34"/>
      <c r="AK157" s="34"/>
      <c r="AL157" s="34"/>
      <c r="AM157" s="34"/>
    </row>
    <row r="158" spans="33:39" s="26" customFormat="1" ht="12.75">
      <c r="AG158" s="34"/>
      <c r="AH158" s="34"/>
      <c r="AI158" s="34"/>
      <c r="AJ158" s="34"/>
      <c r="AK158" s="34"/>
      <c r="AL158" s="34"/>
      <c r="AM158" s="34"/>
    </row>
    <row r="159" spans="33:39" s="26" customFormat="1" ht="12.75">
      <c r="AG159" s="34"/>
      <c r="AH159" s="34"/>
      <c r="AI159" s="34"/>
      <c r="AJ159" s="34"/>
      <c r="AK159" s="34"/>
      <c r="AL159" s="34"/>
      <c r="AM159" s="34"/>
    </row>
    <row r="160" spans="33:39" s="26" customFormat="1" ht="12.75">
      <c r="AG160" s="34"/>
      <c r="AH160" s="34"/>
      <c r="AI160" s="34"/>
      <c r="AJ160" s="34"/>
      <c r="AK160" s="34"/>
      <c r="AL160" s="34"/>
      <c r="AM160" s="34"/>
    </row>
    <row r="161" spans="33:39" s="26" customFormat="1" ht="12.75">
      <c r="AG161" s="34"/>
      <c r="AH161" s="34"/>
      <c r="AI161" s="34"/>
      <c r="AJ161" s="34"/>
      <c r="AK161" s="34"/>
      <c r="AL161" s="34"/>
      <c r="AM161" s="34"/>
    </row>
    <row r="162" spans="33:39" s="26" customFormat="1" ht="12.75">
      <c r="AG162" s="34"/>
      <c r="AH162" s="34"/>
      <c r="AI162" s="34"/>
      <c r="AJ162" s="34"/>
      <c r="AK162" s="34"/>
      <c r="AL162" s="34"/>
      <c r="AM162" s="34"/>
    </row>
    <row r="163" spans="33:39" s="26" customFormat="1" ht="12.75">
      <c r="AG163" s="34"/>
      <c r="AH163" s="34"/>
      <c r="AI163" s="34"/>
      <c r="AJ163" s="34"/>
      <c r="AK163" s="34"/>
      <c r="AL163" s="34"/>
      <c r="AM163" s="34"/>
    </row>
    <row r="164" spans="33:39" s="26" customFormat="1" ht="12.75">
      <c r="AG164" s="34"/>
      <c r="AH164" s="34"/>
      <c r="AI164" s="34"/>
      <c r="AJ164" s="34"/>
      <c r="AK164" s="34"/>
      <c r="AL164" s="34"/>
      <c r="AM164" s="34"/>
    </row>
    <row r="165" spans="33:39" s="26" customFormat="1" ht="12.75">
      <c r="AG165" s="34"/>
      <c r="AH165" s="34"/>
      <c r="AI165" s="34"/>
      <c r="AJ165" s="34"/>
      <c r="AK165" s="34"/>
      <c r="AL165" s="34"/>
      <c r="AM165" s="34"/>
    </row>
    <row r="166" spans="33:39" s="26" customFormat="1" ht="12.75">
      <c r="AG166" s="34"/>
      <c r="AH166" s="34"/>
      <c r="AI166" s="34"/>
      <c r="AJ166" s="34"/>
      <c r="AK166" s="34"/>
      <c r="AL166" s="34"/>
      <c r="AM166" s="34"/>
    </row>
    <row r="167" spans="33:39" s="26" customFormat="1" ht="12.75">
      <c r="AG167" s="34"/>
      <c r="AH167" s="34"/>
      <c r="AI167" s="34"/>
      <c r="AJ167" s="34"/>
      <c r="AK167" s="34"/>
      <c r="AL167" s="34"/>
      <c r="AM167" s="34"/>
    </row>
    <row r="168" spans="33:39" s="26" customFormat="1" ht="12.75">
      <c r="AG168" s="34"/>
      <c r="AH168" s="34"/>
      <c r="AI168" s="34"/>
      <c r="AJ168" s="34"/>
      <c r="AK168" s="34"/>
      <c r="AL168" s="34"/>
      <c r="AM168" s="34"/>
    </row>
    <row r="169" spans="33:39" s="26" customFormat="1" ht="12.75">
      <c r="AG169" s="34"/>
      <c r="AH169" s="34"/>
      <c r="AI169" s="34"/>
      <c r="AJ169" s="34"/>
      <c r="AK169" s="34"/>
      <c r="AL169" s="34"/>
      <c r="AM169" s="34"/>
    </row>
    <row r="170" spans="33:39" s="26" customFormat="1" ht="12.75">
      <c r="AG170" s="34"/>
      <c r="AH170" s="34"/>
      <c r="AI170" s="34"/>
      <c r="AJ170" s="34"/>
      <c r="AK170" s="34"/>
      <c r="AL170" s="34"/>
      <c r="AM170" s="34"/>
    </row>
    <row r="171" spans="33:39" s="26" customFormat="1" ht="12.75">
      <c r="AG171" s="34"/>
      <c r="AH171" s="34"/>
      <c r="AI171" s="34"/>
      <c r="AJ171" s="34"/>
      <c r="AK171" s="34"/>
      <c r="AL171" s="34"/>
      <c r="AM171" s="34"/>
    </row>
    <row r="172" spans="33:39" s="26" customFormat="1" ht="12.75">
      <c r="AG172" s="34"/>
      <c r="AH172" s="34"/>
      <c r="AI172" s="34"/>
      <c r="AJ172" s="34"/>
      <c r="AK172" s="34"/>
      <c r="AL172" s="34"/>
      <c r="AM172" s="34"/>
    </row>
    <row r="173" spans="33:39" s="26" customFormat="1" ht="12.75">
      <c r="AG173" s="34"/>
      <c r="AH173" s="34"/>
      <c r="AI173" s="34"/>
      <c r="AJ173" s="34"/>
      <c r="AK173" s="34"/>
      <c r="AL173" s="34"/>
      <c r="AM173" s="34"/>
    </row>
    <row r="174" spans="33:39" s="26" customFormat="1" ht="12.75">
      <c r="AG174" s="34"/>
      <c r="AH174" s="34"/>
      <c r="AI174" s="34"/>
      <c r="AJ174" s="34"/>
      <c r="AK174" s="34"/>
      <c r="AL174" s="34"/>
      <c r="AM174" s="34"/>
    </row>
    <row r="175" spans="33:39" s="26" customFormat="1" ht="12.75">
      <c r="AG175" s="34"/>
      <c r="AH175" s="34"/>
      <c r="AI175" s="34"/>
      <c r="AJ175" s="34"/>
      <c r="AK175" s="34"/>
      <c r="AL175" s="34"/>
      <c r="AM175" s="34"/>
    </row>
    <row r="176" spans="33:39" s="26" customFormat="1" ht="12.75">
      <c r="AG176" s="34"/>
      <c r="AH176" s="34"/>
      <c r="AI176" s="34"/>
      <c r="AJ176" s="34"/>
      <c r="AK176" s="34"/>
      <c r="AL176" s="34"/>
      <c r="AM176" s="34"/>
    </row>
    <row r="177" spans="33:39" s="26" customFormat="1" ht="12.75">
      <c r="AG177" s="34"/>
      <c r="AH177" s="34"/>
      <c r="AI177" s="34"/>
      <c r="AJ177" s="34"/>
      <c r="AK177" s="34"/>
      <c r="AL177" s="34"/>
      <c r="AM177" s="34"/>
    </row>
    <row r="178" spans="33:39" s="26" customFormat="1" ht="12.75">
      <c r="AG178" s="34"/>
      <c r="AH178" s="34"/>
      <c r="AI178" s="34"/>
      <c r="AJ178" s="34"/>
      <c r="AK178" s="34"/>
      <c r="AL178" s="34"/>
      <c r="AM178" s="34"/>
    </row>
    <row r="179" spans="33:39" s="26" customFormat="1" ht="12.75">
      <c r="AG179" s="34"/>
      <c r="AH179" s="34"/>
      <c r="AI179" s="34"/>
      <c r="AJ179" s="34"/>
      <c r="AK179" s="34"/>
      <c r="AL179" s="34"/>
      <c r="AM179" s="34"/>
    </row>
    <row r="180" spans="33:39" s="26" customFormat="1" ht="12.75">
      <c r="AG180" s="34"/>
      <c r="AH180" s="34"/>
      <c r="AI180" s="34"/>
      <c r="AJ180" s="34"/>
      <c r="AK180" s="34"/>
      <c r="AL180" s="34"/>
      <c r="AM180" s="34"/>
    </row>
    <row r="181" spans="33:39" s="26" customFormat="1" ht="12.75">
      <c r="AG181" s="34"/>
      <c r="AH181" s="34"/>
      <c r="AI181" s="34"/>
      <c r="AJ181" s="34"/>
      <c r="AK181" s="34"/>
      <c r="AL181" s="34"/>
      <c r="AM181" s="34"/>
    </row>
    <row r="182" spans="33:39" s="26" customFormat="1" ht="12.75">
      <c r="AG182" s="34"/>
      <c r="AH182" s="34"/>
      <c r="AI182" s="34"/>
      <c r="AJ182" s="34"/>
      <c r="AK182" s="34"/>
      <c r="AL182" s="34"/>
      <c r="AM182" s="34"/>
    </row>
    <row r="183" spans="33:39" s="26" customFormat="1" ht="12.75">
      <c r="AG183" s="34"/>
      <c r="AH183" s="34"/>
      <c r="AI183" s="34"/>
      <c r="AJ183" s="34"/>
      <c r="AK183" s="34"/>
      <c r="AL183" s="34"/>
      <c r="AM183" s="34"/>
    </row>
    <row r="184" spans="33:39" s="26" customFormat="1" ht="12.75">
      <c r="AG184" s="34"/>
      <c r="AH184" s="34"/>
      <c r="AI184" s="34"/>
      <c r="AJ184" s="34"/>
      <c r="AK184" s="34"/>
      <c r="AL184" s="34"/>
      <c r="AM184" s="34"/>
    </row>
    <row r="185" spans="33:39" s="26" customFormat="1" ht="12.75">
      <c r="AG185" s="34"/>
      <c r="AH185" s="34"/>
      <c r="AI185" s="34"/>
      <c r="AJ185" s="34"/>
      <c r="AK185" s="34"/>
      <c r="AL185" s="34"/>
      <c r="AM185" s="34"/>
    </row>
    <row r="186" spans="33:39" s="26" customFormat="1" ht="12.75">
      <c r="AG186" s="34"/>
      <c r="AH186" s="34"/>
      <c r="AI186" s="34"/>
      <c r="AJ186" s="34"/>
      <c r="AK186" s="34"/>
      <c r="AL186" s="34"/>
      <c r="AM186" s="34"/>
    </row>
    <row r="187" spans="33:39" s="26" customFormat="1" ht="12.75">
      <c r="AG187" s="34"/>
      <c r="AH187" s="34"/>
      <c r="AI187" s="34"/>
      <c r="AJ187" s="34"/>
      <c r="AK187" s="34"/>
      <c r="AL187" s="34"/>
      <c r="AM187" s="34"/>
    </row>
    <row r="188" spans="33:39" s="26" customFormat="1" ht="12.75">
      <c r="AG188" s="34"/>
      <c r="AH188" s="34"/>
      <c r="AI188" s="34"/>
      <c r="AJ188" s="34"/>
      <c r="AK188" s="34"/>
      <c r="AL188" s="34"/>
      <c r="AM188" s="34"/>
    </row>
    <row r="189" spans="33:39" s="26" customFormat="1" ht="12.75">
      <c r="AG189" s="34"/>
      <c r="AH189" s="34"/>
      <c r="AI189" s="34"/>
      <c r="AJ189" s="34"/>
      <c r="AK189" s="34"/>
      <c r="AL189" s="34"/>
      <c r="AM189" s="34"/>
    </row>
    <row r="190" spans="33:39" s="26" customFormat="1" ht="12.75">
      <c r="AG190" s="34"/>
      <c r="AH190" s="34"/>
      <c r="AI190" s="34"/>
      <c r="AJ190" s="34"/>
      <c r="AK190" s="34"/>
      <c r="AL190" s="34"/>
      <c r="AM190" s="34"/>
    </row>
    <row r="191" spans="33:39" s="26" customFormat="1" ht="12.75">
      <c r="AG191" s="34"/>
      <c r="AH191" s="34"/>
      <c r="AI191" s="34"/>
      <c r="AJ191" s="34"/>
      <c r="AK191" s="34"/>
      <c r="AL191" s="34"/>
      <c r="AM191" s="34"/>
    </row>
    <row r="192" spans="33:39" s="26" customFormat="1" ht="12.75">
      <c r="AG192" s="34"/>
      <c r="AH192" s="34"/>
      <c r="AI192" s="34"/>
      <c r="AJ192" s="34"/>
      <c r="AK192" s="34"/>
      <c r="AL192" s="34"/>
      <c r="AM192" s="34"/>
    </row>
    <row r="193" spans="33:39" s="26" customFormat="1" ht="12.75">
      <c r="AG193" s="34"/>
      <c r="AH193" s="34"/>
      <c r="AI193" s="34"/>
      <c r="AJ193" s="34"/>
      <c r="AK193" s="34"/>
      <c r="AL193" s="34"/>
      <c r="AM193" s="34"/>
    </row>
    <row r="194" spans="33:39" s="26" customFormat="1" ht="12.75">
      <c r="AG194" s="34"/>
      <c r="AH194" s="34"/>
      <c r="AI194" s="34"/>
      <c r="AJ194" s="34"/>
      <c r="AK194" s="34"/>
      <c r="AL194" s="34"/>
      <c r="AM194" s="34"/>
    </row>
    <row r="195" spans="33:39" s="26" customFormat="1" ht="12.75">
      <c r="AG195" s="34"/>
      <c r="AH195" s="34"/>
      <c r="AI195" s="34"/>
      <c r="AJ195" s="34"/>
      <c r="AK195" s="34"/>
      <c r="AL195" s="34"/>
      <c r="AM195" s="34"/>
    </row>
    <row r="196" spans="33:39" s="26" customFormat="1" ht="12.75">
      <c r="AG196" s="34"/>
      <c r="AH196" s="34"/>
      <c r="AI196" s="34"/>
      <c r="AJ196" s="34"/>
      <c r="AK196" s="34"/>
      <c r="AL196" s="34"/>
      <c r="AM196" s="34"/>
    </row>
    <row r="197" spans="33:39" s="26" customFormat="1" ht="12.75">
      <c r="AG197" s="34"/>
      <c r="AH197" s="34"/>
      <c r="AI197" s="34"/>
      <c r="AJ197" s="34"/>
      <c r="AK197" s="34"/>
      <c r="AL197" s="34"/>
      <c r="AM197" s="34"/>
    </row>
    <row r="198" spans="33:39" s="26" customFormat="1" ht="12.75">
      <c r="AG198" s="34"/>
      <c r="AH198" s="34"/>
      <c r="AI198" s="34"/>
      <c r="AJ198" s="34"/>
      <c r="AK198" s="34"/>
      <c r="AL198" s="34"/>
      <c r="AM198" s="34"/>
    </row>
    <row r="199" spans="33:39" s="26" customFormat="1" ht="12.75">
      <c r="AG199" s="34"/>
      <c r="AH199" s="34"/>
      <c r="AI199" s="34"/>
      <c r="AJ199" s="34"/>
      <c r="AK199" s="34"/>
      <c r="AL199" s="34"/>
      <c r="AM199" s="34"/>
    </row>
    <row r="200" spans="33:39" s="26" customFormat="1" ht="12.75">
      <c r="AG200" s="34"/>
      <c r="AH200" s="34"/>
      <c r="AI200" s="34"/>
      <c r="AJ200" s="34"/>
      <c r="AK200" s="34"/>
      <c r="AL200" s="34"/>
      <c r="AM200" s="34"/>
    </row>
    <row r="201" spans="33:39" s="26" customFormat="1" ht="12.75">
      <c r="AG201" s="34"/>
      <c r="AH201" s="34"/>
      <c r="AI201" s="34"/>
      <c r="AJ201" s="34"/>
      <c r="AK201" s="34"/>
      <c r="AL201" s="34"/>
      <c r="AM201" s="34"/>
    </row>
    <row r="202" spans="33:39" s="26" customFormat="1" ht="12.75">
      <c r="AG202" s="34"/>
      <c r="AH202" s="34"/>
      <c r="AI202" s="34"/>
      <c r="AJ202" s="34"/>
      <c r="AK202" s="34"/>
      <c r="AL202" s="34"/>
      <c r="AM202" s="34"/>
    </row>
    <row r="203" spans="33:39" s="26" customFormat="1" ht="12.75">
      <c r="AG203" s="34"/>
      <c r="AH203" s="34"/>
      <c r="AI203" s="34"/>
      <c r="AJ203" s="34"/>
      <c r="AK203" s="34"/>
      <c r="AL203" s="34"/>
      <c r="AM203" s="34"/>
    </row>
    <row r="204" spans="33:39" s="26" customFormat="1" ht="12.75">
      <c r="AG204" s="34"/>
      <c r="AH204" s="34"/>
      <c r="AI204" s="34"/>
      <c r="AJ204" s="34"/>
      <c r="AK204" s="34"/>
      <c r="AL204" s="34"/>
      <c r="AM204" s="34"/>
    </row>
    <row r="205" spans="33:39" s="26" customFormat="1" ht="12.75">
      <c r="AG205" s="34"/>
      <c r="AH205" s="34"/>
      <c r="AI205" s="34"/>
      <c r="AJ205" s="34"/>
      <c r="AK205" s="34"/>
      <c r="AL205" s="34"/>
      <c r="AM205" s="34"/>
    </row>
    <row r="206" spans="33:39" s="26" customFormat="1" ht="12.75">
      <c r="AG206" s="34"/>
      <c r="AH206" s="34"/>
      <c r="AI206" s="34"/>
      <c r="AJ206" s="34"/>
      <c r="AK206" s="34"/>
      <c r="AL206" s="34"/>
      <c r="AM206" s="34"/>
    </row>
    <row r="207" spans="33:39" s="26" customFormat="1" ht="12.75">
      <c r="AG207" s="34"/>
      <c r="AH207" s="34"/>
      <c r="AI207" s="34"/>
      <c r="AJ207" s="34"/>
      <c r="AK207" s="34"/>
      <c r="AL207" s="34"/>
      <c r="AM207" s="34"/>
    </row>
    <row r="208" spans="33:39" s="26" customFormat="1" ht="12.75">
      <c r="AG208" s="34"/>
      <c r="AH208" s="34"/>
      <c r="AI208" s="34"/>
      <c r="AJ208" s="34"/>
      <c r="AK208" s="34"/>
      <c r="AL208" s="34"/>
      <c r="AM208" s="34"/>
    </row>
    <row r="209" spans="33:39" s="26" customFormat="1" ht="12.75">
      <c r="AG209" s="34"/>
      <c r="AH209" s="34"/>
      <c r="AI209" s="34"/>
      <c r="AJ209" s="34"/>
      <c r="AK209" s="34"/>
      <c r="AL209" s="34"/>
      <c r="AM209" s="34"/>
    </row>
    <row r="210" spans="33:39" s="26" customFormat="1" ht="12.75">
      <c r="AG210" s="34"/>
      <c r="AH210" s="34"/>
      <c r="AI210" s="34"/>
      <c r="AJ210" s="34"/>
      <c r="AK210" s="34"/>
      <c r="AL210" s="34"/>
      <c r="AM210" s="34"/>
    </row>
    <row r="211" spans="33:39" s="26" customFormat="1" ht="12.75">
      <c r="AG211" s="34"/>
      <c r="AH211" s="34"/>
      <c r="AI211" s="34"/>
      <c r="AJ211" s="34"/>
      <c r="AK211" s="34"/>
      <c r="AL211" s="34"/>
      <c r="AM211" s="34"/>
    </row>
    <row r="212" spans="33:39" s="26" customFormat="1" ht="12.75">
      <c r="AG212" s="34"/>
      <c r="AH212" s="34"/>
      <c r="AI212" s="34"/>
      <c r="AJ212" s="34"/>
      <c r="AK212" s="34"/>
      <c r="AL212" s="34"/>
      <c r="AM212" s="34"/>
    </row>
    <row r="213" spans="33:39" s="26" customFormat="1" ht="12.75">
      <c r="AG213" s="34"/>
      <c r="AH213" s="34"/>
      <c r="AI213" s="34"/>
      <c r="AJ213" s="34"/>
      <c r="AK213" s="34"/>
      <c r="AL213" s="34"/>
      <c r="AM213" s="34"/>
    </row>
    <row r="214" spans="33:39" s="26" customFormat="1" ht="12.75">
      <c r="AG214" s="34"/>
      <c r="AH214" s="34"/>
      <c r="AI214" s="34"/>
      <c r="AJ214" s="34"/>
      <c r="AK214" s="34"/>
      <c r="AL214" s="34"/>
      <c r="AM214" s="34"/>
    </row>
    <row r="215" spans="33:39" s="26" customFormat="1" ht="12.75">
      <c r="AG215" s="34"/>
      <c r="AH215" s="34"/>
      <c r="AI215" s="34"/>
      <c r="AJ215" s="34"/>
      <c r="AK215" s="34"/>
      <c r="AL215" s="34"/>
      <c r="AM215" s="34"/>
    </row>
    <row r="216" spans="33:39" s="26" customFormat="1" ht="12.75">
      <c r="AG216" s="34"/>
      <c r="AH216" s="34"/>
      <c r="AI216" s="34"/>
      <c r="AJ216" s="34"/>
      <c r="AK216" s="34"/>
      <c r="AL216" s="34"/>
      <c r="AM216" s="34"/>
    </row>
    <row r="217" spans="33:39" s="26" customFormat="1" ht="12.75">
      <c r="AG217" s="34"/>
      <c r="AH217" s="34"/>
      <c r="AI217" s="34"/>
      <c r="AJ217" s="34"/>
      <c r="AK217" s="34"/>
      <c r="AL217" s="34"/>
      <c r="AM217" s="34"/>
    </row>
    <row r="218" spans="33:39" s="26" customFormat="1" ht="12.75">
      <c r="AG218" s="34"/>
      <c r="AH218" s="34"/>
      <c r="AI218" s="34"/>
      <c r="AJ218" s="34"/>
      <c r="AK218" s="34"/>
      <c r="AL218" s="34"/>
      <c r="AM218" s="34"/>
    </row>
    <row r="219" spans="33:39" s="26" customFormat="1" ht="12.75">
      <c r="AG219" s="34"/>
      <c r="AH219" s="34"/>
      <c r="AI219" s="34"/>
      <c r="AJ219" s="34"/>
      <c r="AK219" s="34"/>
      <c r="AL219" s="34"/>
      <c r="AM219" s="34"/>
    </row>
    <row r="220" spans="33:39" s="26" customFormat="1" ht="12.75">
      <c r="AG220" s="34"/>
      <c r="AH220" s="34"/>
      <c r="AI220" s="34"/>
      <c r="AJ220" s="34"/>
      <c r="AK220" s="34"/>
      <c r="AL220" s="34"/>
      <c r="AM220" s="34"/>
    </row>
    <row r="221" spans="33:39" s="26" customFormat="1" ht="12.75">
      <c r="AG221" s="34"/>
      <c r="AH221" s="34"/>
      <c r="AI221" s="34"/>
      <c r="AJ221" s="34"/>
      <c r="AK221" s="34"/>
      <c r="AL221" s="34"/>
      <c r="AM221" s="34"/>
    </row>
    <row r="222" spans="33:39" s="26" customFormat="1" ht="12.75">
      <c r="AG222" s="34"/>
      <c r="AH222" s="34"/>
      <c r="AI222" s="34"/>
      <c r="AJ222" s="34"/>
      <c r="AK222" s="34"/>
      <c r="AL222" s="34"/>
      <c r="AM222" s="34"/>
    </row>
    <row r="223" spans="33:39" s="26" customFormat="1" ht="12.75">
      <c r="AG223" s="34"/>
      <c r="AH223" s="34"/>
      <c r="AI223" s="34"/>
      <c r="AJ223" s="34"/>
      <c r="AK223" s="34"/>
      <c r="AL223" s="34"/>
      <c r="AM223" s="34"/>
    </row>
    <row r="224" spans="33:39" s="26" customFormat="1" ht="12.75">
      <c r="AG224" s="34"/>
      <c r="AH224" s="34"/>
      <c r="AI224" s="34"/>
      <c r="AJ224" s="34"/>
      <c r="AK224" s="34"/>
      <c r="AL224" s="34"/>
      <c r="AM224" s="34"/>
    </row>
    <row r="225" spans="33:39" s="26" customFormat="1" ht="12.75">
      <c r="AG225" s="34"/>
      <c r="AH225" s="34"/>
      <c r="AI225" s="34"/>
      <c r="AJ225" s="34"/>
      <c r="AK225" s="34"/>
      <c r="AL225" s="34"/>
      <c r="AM225" s="34"/>
    </row>
    <row r="226" spans="33:39" s="26" customFormat="1" ht="12.75">
      <c r="AG226" s="34"/>
      <c r="AH226" s="34"/>
      <c r="AI226" s="34"/>
      <c r="AJ226" s="34"/>
      <c r="AK226" s="34"/>
      <c r="AL226" s="34"/>
      <c r="AM226" s="34"/>
    </row>
    <row r="227" spans="33:39" s="26" customFormat="1" ht="12.75">
      <c r="AG227" s="34"/>
      <c r="AH227" s="34"/>
      <c r="AI227" s="34"/>
      <c r="AJ227" s="34"/>
      <c r="AK227" s="34"/>
      <c r="AL227" s="34"/>
      <c r="AM227" s="34"/>
    </row>
    <row r="228" spans="33:39" s="26" customFormat="1" ht="12.75">
      <c r="AG228" s="34"/>
      <c r="AH228" s="34"/>
      <c r="AI228" s="34"/>
      <c r="AJ228" s="34"/>
      <c r="AK228" s="34"/>
      <c r="AL228" s="34"/>
      <c r="AM228" s="34"/>
    </row>
    <row r="229" spans="33:39" s="26" customFormat="1" ht="12.75">
      <c r="AG229" s="34"/>
      <c r="AH229" s="34"/>
      <c r="AI229" s="34"/>
      <c r="AJ229" s="34"/>
      <c r="AK229" s="34"/>
      <c r="AL229" s="34"/>
      <c r="AM229" s="34"/>
    </row>
    <row r="230" spans="33:39" s="26" customFormat="1" ht="12.75">
      <c r="AG230" s="34"/>
      <c r="AH230" s="34"/>
      <c r="AI230" s="34"/>
      <c r="AJ230" s="34"/>
      <c r="AK230" s="34"/>
      <c r="AL230" s="34"/>
      <c r="AM230" s="34"/>
    </row>
    <row r="231" spans="33:39" s="26" customFormat="1" ht="12.75">
      <c r="AG231" s="34"/>
      <c r="AH231" s="34"/>
      <c r="AI231" s="34"/>
      <c r="AJ231" s="34"/>
      <c r="AK231" s="34"/>
      <c r="AL231" s="34"/>
      <c r="AM231" s="34"/>
    </row>
    <row r="232" spans="33:39" s="26" customFormat="1" ht="12.75">
      <c r="AG232" s="34"/>
      <c r="AH232" s="34"/>
      <c r="AI232" s="34"/>
      <c r="AJ232" s="34"/>
      <c r="AK232" s="34"/>
      <c r="AL232" s="34"/>
      <c r="AM232" s="34"/>
    </row>
    <row r="233" spans="33:39" s="26" customFormat="1" ht="12.75">
      <c r="AG233" s="34"/>
      <c r="AH233" s="34"/>
      <c r="AI233" s="34"/>
      <c r="AJ233" s="34"/>
      <c r="AK233" s="34"/>
      <c r="AL233" s="34"/>
      <c r="AM233" s="34"/>
    </row>
    <row r="234" spans="33:39" s="26" customFormat="1" ht="12.75">
      <c r="AG234" s="34"/>
      <c r="AH234" s="34"/>
      <c r="AI234" s="34"/>
      <c r="AJ234" s="34"/>
      <c r="AK234" s="34"/>
      <c r="AL234" s="34"/>
      <c r="AM234" s="34"/>
    </row>
    <row r="235" spans="33:39" s="26" customFormat="1" ht="12.75">
      <c r="AG235" s="34"/>
      <c r="AH235" s="34"/>
      <c r="AI235" s="34"/>
      <c r="AJ235" s="34"/>
      <c r="AK235" s="34"/>
      <c r="AL235" s="34"/>
      <c r="AM235" s="34"/>
    </row>
    <row r="236" spans="33:39" s="26" customFormat="1" ht="12.75">
      <c r="AG236" s="34"/>
      <c r="AH236" s="34"/>
      <c r="AI236" s="34"/>
      <c r="AJ236" s="34"/>
      <c r="AK236" s="34"/>
      <c r="AL236" s="34"/>
      <c r="AM236" s="34"/>
    </row>
    <row r="237" spans="33:39" s="26" customFormat="1" ht="12.75">
      <c r="AG237" s="34"/>
      <c r="AH237" s="34"/>
      <c r="AI237" s="34"/>
      <c r="AJ237" s="34"/>
      <c r="AK237" s="34"/>
      <c r="AL237" s="34"/>
      <c r="AM237" s="34"/>
    </row>
    <row r="238" spans="33:39" s="26" customFormat="1" ht="12.75">
      <c r="AG238" s="34"/>
      <c r="AH238" s="34"/>
      <c r="AI238" s="34"/>
      <c r="AJ238" s="34"/>
      <c r="AK238" s="34"/>
      <c r="AL238" s="34"/>
      <c r="AM238" s="34"/>
    </row>
    <row r="239" spans="33:39" s="26" customFormat="1" ht="12.75">
      <c r="AG239" s="34"/>
      <c r="AH239" s="34"/>
      <c r="AI239" s="34"/>
      <c r="AJ239" s="34"/>
      <c r="AK239" s="34"/>
      <c r="AL239" s="34"/>
      <c r="AM239" s="34"/>
    </row>
    <row r="240" spans="33:39" s="26" customFormat="1" ht="12.75">
      <c r="AG240" s="34"/>
      <c r="AH240" s="34"/>
      <c r="AI240" s="34"/>
      <c r="AJ240" s="34"/>
      <c r="AK240" s="34"/>
      <c r="AL240" s="34"/>
      <c r="AM240" s="34"/>
    </row>
    <row r="241" spans="33:39" s="26" customFormat="1" ht="12.75">
      <c r="AG241" s="34"/>
      <c r="AH241" s="34"/>
      <c r="AI241" s="34"/>
      <c r="AJ241" s="34"/>
      <c r="AK241" s="34"/>
      <c r="AL241" s="34"/>
      <c r="AM241" s="34"/>
    </row>
    <row r="242" spans="33:39" s="26" customFormat="1" ht="12.75">
      <c r="AG242" s="34"/>
      <c r="AH242" s="34"/>
      <c r="AI242" s="34"/>
      <c r="AJ242" s="34"/>
      <c r="AK242" s="34"/>
      <c r="AL242" s="34"/>
      <c r="AM242" s="34"/>
    </row>
    <row r="243" spans="33:39" s="26" customFormat="1" ht="12.75">
      <c r="AG243" s="34"/>
      <c r="AH243" s="34"/>
      <c r="AI243" s="34"/>
      <c r="AJ243" s="34"/>
      <c r="AK243" s="34"/>
      <c r="AL243" s="34"/>
      <c r="AM243" s="34"/>
    </row>
    <row r="244" spans="33:39" s="26" customFormat="1" ht="12.75">
      <c r="AG244" s="34"/>
      <c r="AH244" s="34"/>
      <c r="AI244" s="34"/>
      <c r="AJ244" s="34"/>
      <c r="AK244" s="34"/>
      <c r="AL244" s="34"/>
      <c r="AM244" s="34"/>
    </row>
    <row r="245" spans="33:39" s="26" customFormat="1" ht="12.75">
      <c r="AG245" s="34"/>
      <c r="AH245" s="34"/>
      <c r="AI245" s="34"/>
      <c r="AJ245" s="34"/>
      <c r="AK245" s="34"/>
      <c r="AL245" s="34"/>
      <c r="AM245" s="34"/>
    </row>
    <row r="246" spans="33:39" s="26" customFormat="1" ht="12.75">
      <c r="AG246" s="34"/>
      <c r="AH246" s="34"/>
      <c r="AI246" s="34"/>
      <c r="AJ246" s="34"/>
      <c r="AK246" s="34"/>
      <c r="AL246" s="34"/>
      <c r="AM246" s="34"/>
    </row>
    <row r="247" spans="33:39" s="26" customFormat="1" ht="12.75">
      <c r="AG247" s="34"/>
      <c r="AH247" s="34"/>
      <c r="AI247" s="34"/>
      <c r="AJ247" s="34"/>
      <c r="AK247" s="34"/>
      <c r="AL247" s="34"/>
      <c r="AM247" s="34"/>
    </row>
    <row r="248" spans="33:39" s="26" customFormat="1" ht="12.75">
      <c r="AG248" s="34"/>
      <c r="AH248" s="34"/>
      <c r="AI248" s="34"/>
      <c r="AJ248" s="34"/>
      <c r="AK248" s="34"/>
      <c r="AL248" s="34"/>
      <c r="AM248" s="34"/>
    </row>
    <row r="249" spans="33:39" s="26" customFormat="1" ht="12.75">
      <c r="AG249" s="34"/>
      <c r="AH249" s="34"/>
      <c r="AI249" s="34"/>
      <c r="AJ249" s="34"/>
      <c r="AK249" s="34"/>
      <c r="AL249" s="34"/>
      <c r="AM249" s="34"/>
    </row>
    <row r="250" spans="33:39" s="26" customFormat="1" ht="12.75">
      <c r="AG250" s="34"/>
      <c r="AH250" s="34"/>
      <c r="AI250" s="34"/>
      <c r="AJ250" s="34"/>
      <c r="AK250" s="34"/>
      <c r="AL250" s="34"/>
      <c r="AM250" s="34"/>
    </row>
    <row r="251" spans="33:39" s="26" customFormat="1" ht="12.75">
      <c r="AG251" s="34"/>
      <c r="AH251" s="34"/>
      <c r="AI251" s="34"/>
      <c r="AJ251" s="34"/>
      <c r="AK251" s="34"/>
      <c r="AL251" s="34"/>
      <c r="AM251" s="34"/>
    </row>
    <row r="252" spans="33:39" s="26" customFormat="1" ht="12.75">
      <c r="AG252" s="34"/>
      <c r="AH252" s="34"/>
      <c r="AI252" s="34"/>
      <c r="AJ252" s="34"/>
      <c r="AK252" s="34"/>
      <c r="AL252" s="34"/>
      <c r="AM252" s="34"/>
    </row>
    <row r="253" spans="33:39" s="26" customFormat="1" ht="12.75">
      <c r="AG253" s="34"/>
      <c r="AH253" s="34"/>
      <c r="AI253" s="34"/>
      <c r="AJ253" s="34"/>
      <c r="AK253" s="34"/>
      <c r="AL253" s="34"/>
      <c r="AM253" s="34"/>
    </row>
    <row r="254" spans="33:39" s="26" customFormat="1" ht="12.75">
      <c r="AG254" s="34"/>
      <c r="AH254" s="34"/>
      <c r="AI254" s="34"/>
      <c r="AJ254" s="34"/>
      <c r="AK254" s="34"/>
      <c r="AL254" s="34"/>
      <c r="AM254" s="34"/>
    </row>
    <row r="255" spans="33:39" s="26" customFormat="1" ht="12.75">
      <c r="AG255" s="34"/>
      <c r="AH255" s="34"/>
      <c r="AI255" s="34"/>
      <c r="AJ255" s="34"/>
      <c r="AK255" s="34"/>
      <c r="AL255" s="34"/>
      <c r="AM255" s="34"/>
    </row>
    <row r="256" spans="33:39" s="26" customFormat="1" ht="12.75">
      <c r="AG256" s="34"/>
      <c r="AH256" s="34"/>
      <c r="AI256" s="34"/>
      <c r="AJ256" s="34"/>
      <c r="AK256" s="34"/>
      <c r="AL256" s="34"/>
      <c r="AM256" s="34"/>
    </row>
    <row r="257" spans="33:39" s="26" customFormat="1" ht="12.75">
      <c r="AG257" s="34"/>
      <c r="AH257" s="34"/>
      <c r="AI257" s="34"/>
      <c r="AJ257" s="34"/>
      <c r="AK257" s="34"/>
      <c r="AL257" s="34"/>
      <c r="AM257" s="34"/>
    </row>
    <row r="258" spans="33:39" s="26" customFormat="1" ht="12.75">
      <c r="AG258" s="34"/>
      <c r="AH258" s="34"/>
      <c r="AI258" s="34"/>
      <c r="AJ258" s="34"/>
      <c r="AK258" s="34"/>
      <c r="AL258" s="34"/>
      <c r="AM258" s="34"/>
    </row>
    <row r="259" spans="33:39" s="26" customFormat="1" ht="12.75">
      <c r="AG259" s="34"/>
      <c r="AH259" s="34"/>
      <c r="AI259" s="34"/>
      <c r="AJ259" s="34"/>
      <c r="AK259" s="34"/>
      <c r="AL259" s="34"/>
      <c r="AM259" s="34"/>
    </row>
    <row r="260" spans="33:39" s="26" customFormat="1" ht="12.75">
      <c r="AG260" s="34"/>
      <c r="AH260" s="34"/>
      <c r="AI260" s="34"/>
      <c r="AJ260" s="34"/>
      <c r="AK260" s="34"/>
      <c r="AL260" s="34"/>
      <c r="AM260" s="34"/>
    </row>
    <row r="261" spans="33:39" s="26" customFormat="1" ht="12.75">
      <c r="AG261" s="34"/>
      <c r="AH261" s="34"/>
      <c r="AI261" s="34"/>
      <c r="AJ261" s="34"/>
      <c r="AK261" s="34"/>
      <c r="AL261" s="34"/>
      <c r="AM261" s="34"/>
    </row>
    <row r="262" spans="33:39" s="26" customFormat="1" ht="12.75">
      <c r="AG262" s="34"/>
      <c r="AH262" s="34"/>
      <c r="AI262" s="34"/>
      <c r="AJ262" s="34"/>
      <c r="AK262" s="34"/>
      <c r="AL262" s="34"/>
      <c r="AM262" s="34"/>
    </row>
    <row r="263" spans="33:39" s="26" customFormat="1" ht="12.75">
      <c r="AG263" s="34"/>
      <c r="AH263" s="34"/>
      <c r="AI263" s="34"/>
      <c r="AJ263" s="34"/>
      <c r="AK263" s="34"/>
      <c r="AL263" s="34"/>
      <c r="AM263" s="34"/>
    </row>
    <row r="264" spans="33:39" s="26" customFormat="1" ht="12.75">
      <c r="AG264" s="34"/>
      <c r="AH264" s="34"/>
      <c r="AI264" s="34"/>
      <c r="AJ264" s="34"/>
      <c r="AK264" s="34"/>
      <c r="AL264" s="34"/>
      <c r="AM264" s="34"/>
    </row>
    <row r="265" spans="33:39" s="26" customFormat="1" ht="12.75">
      <c r="AG265" s="34"/>
      <c r="AH265" s="34"/>
      <c r="AI265" s="34"/>
      <c r="AJ265" s="34"/>
      <c r="AK265" s="34"/>
      <c r="AL265" s="34"/>
      <c r="AM265" s="34"/>
    </row>
    <row r="266" spans="33:39" s="26" customFormat="1" ht="12.75">
      <c r="AG266" s="34"/>
      <c r="AH266" s="34"/>
      <c r="AI266" s="34"/>
      <c r="AJ266" s="34"/>
      <c r="AK266" s="34"/>
      <c r="AL266" s="34"/>
      <c r="AM266" s="34"/>
    </row>
    <row r="267" spans="33:39" s="26" customFormat="1" ht="12.75">
      <c r="AG267" s="34"/>
      <c r="AH267" s="34"/>
      <c r="AI267" s="34"/>
      <c r="AJ267" s="34"/>
      <c r="AK267" s="34"/>
      <c r="AL267" s="34"/>
      <c r="AM267" s="34"/>
    </row>
    <row r="268" spans="33:39" s="26" customFormat="1" ht="12.75">
      <c r="AG268" s="34"/>
      <c r="AH268" s="34"/>
      <c r="AI268" s="34"/>
      <c r="AJ268" s="34"/>
      <c r="AK268" s="34"/>
      <c r="AL268" s="34"/>
      <c r="AM268" s="34"/>
    </row>
    <row r="269" spans="33:39" s="26" customFormat="1" ht="12.75">
      <c r="AG269" s="34"/>
      <c r="AH269" s="34"/>
      <c r="AI269" s="34"/>
      <c r="AJ269" s="34"/>
      <c r="AK269" s="34"/>
      <c r="AL269" s="34"/>
      <c r="AM269" s="34"/>
    </row>
    <row r="270" spans="33:39" s="26" customFormat="1" ht="12.75">
      <c r="AG270" s="34"/>
      <c r="AH270" s="34"/>
      <c r="AI270" s="34"/>
      <c r="AJ270" s="34"/>
      <c r="AK270" s="34"/>
      <c r="AL270" s="34"/>
      <c r="AM270" s="34"/>
    </row>
    <row r="271" spans="33:39" s="26" customFormat="1" ht="12.75">
      <c r="AG271" s="34"/>
      <c r="AH271" s="34"/>
      <c r="AI271" s="34"/>
      <c r="AJ271" s="34"/>
      <c r="AK271" s="34"/>
      <c r="AL271" s="34"/>
      <c r="AM271" s="34"/>
    </row>
    <row r="272" spans="33:39" s="26" customFormat="1" ht="12.75">
      <c r="AG272" s="34"/>
      <c r="AH272" s="34"/>
      <c r="AI272" s="34"/>
      <c r="AJ272" s="34"/>
      <c r="AK272" s="34"/>
      <c r="AL272" s="34"/>
      <c r="AM272" s="34"/>
    </row>
    <row r="273" spans="33:39" s="26" customFormat="1" ht="12.75">
      <c r="AG273" s="34"/>
      <c r="AH273" s="34"/>
      <c r="AI273" s="34"/>
      <c r="AJ273" s="34"/>
      <c r="AK273" s="34"/>
      <c r="AL273" s="34"/>
      <c r="AM273" s="34"/>
    </row>
    <row r="274" spans="33:39" s="26" customFormat="1" ht="12.75">
      <c r="AG274" s="34"/>
      <c r="AH274" s="34"/>
      <c r="AI274" s="34"/>
      <c r="AJ274" s="34"/>
      <c r="AK274" s="34"/>
      <c r="AL274" s="34"/>
      <c r="AM274" s="34"/>
    </row>
    <row r="275" spans="33:39" s="26" customFormat="1" ht="12.75">
      <c r="AG275" s="34"/>
      <c r="AH275" s="34"/>
      <c r="AI275" s="34"/>
      <c r="AJ275" s="34"/>
      <c r="AK275" s="34"/>
      <c r="AL275" s="34"/>
      <c r="AM275" s="34"/>
    </row>
    <row r="276" spans="33:39" s="26" customFormat="1" ht="12.75">
      <c r="AG276" s="34"/>
      <c r="AH276" s="34"/>
      <c r="AI276" s="34"/>
      <c r="AJ276" s="34"/>
      <c r="AK276" s="34"/>
      <c r="AL276" s="34"/>
      <c r="AM276" s="34"/>
    </row>
    <row r="277" spans="33:39" s="26" customFormat="1" ht="12.75">
      <c r="AG277" s="34"/>
      <c r="AH277" s="34"/>
      <c r="AI277" s="34"/>
      <c r="AJ277" s="34"/>
      <c r="AK277" s="34"/>
      <c r="AL277" s="34"/>
      <c r="AM277" s="34"/>
    </row>
    <row r="278" spans="33:39" s="26" customFormat="1" ht="12.75">
      <c r="AG278" s="34"/>
      <c r="AH278" s="34"/>
      <c r="AI278" s="34"/>
      <c r="AJ278" s="34"/>
      <c r="AK278" s="34"/>
      <c r="AL278" s="34"/>
      <c r="AM278" s="34"/>
    </row>
    <row r="279" spans="33:39" s="26" customFormat="1" ht="12.75">
      <c r="AG279" s="34"/>
      <c r="AH279" s="34"/>
      <c r="AI279" s="34"/>
      <c r="AJ279" s="34"/>
      <c r="AK279" s="34"/>
      <c r="AL279" s="34"/>
      <c r="AM279" s="34"/>
    </row>
    <row r="280" spans="33:39" s="26" customFormat="1" ht="12.75">
      <c r="AG280" s="34"/>
      <c r="AH280" s="34"/>
      <c r="AI280" s="34"/>
      <c r="AJ280" s="34"/>
      <c r="AK280" s="34"/>
      <c r="AL280" s="34"/>
      <c r="AM280" s="34"/>
    </row>
    <row r="281" spans="33:39" s="26" customFormat="1" ht="12.75">
      <c r="AG281" s="34"/>
      <c r="AH281" s="34"/>
      <c r="AI281" s="34"/>
      <c r="AJ281" s="34"/>
      <c r="AK281" s="34"/>
      <c r="AL281" s="34"/>
      <c r="AM281" s="34"/>
    </row>
    <row r="282" spans="33:39" s="26" customFormat="1" ht="12.75">
      <c r="AG282" s="34"/>
      <c r="AH282" s="34"/>
      <c r="AI282" s="34"/>
      <c r="AJ282" s="34"/>
      <c r="AK282" s="34"/>
      <c r="AL282" s="34"/>
      <c r="AM282" s="34"/>
    </row>
    <row r="283" spans="33:39" s="26" customFormat="1" ht="12.75">
      <c r="AG283" s="34"/>
      <c r="AH283" s="34"/>
      <c r="AI283" s="34"/>
      <c r="AJ283" s="34"/>
      <c r="AK283" s="34"/>
      <c r="AL283" s="34"/>
      <c r="AM283" s="34"/>
    </row>
    <row r="284" spans="33:39" s="26" customFormat="1" ht="12.75">
      <c r="AG284" s="34"/>
      <c r="AH284" s="34"/>
      <c r="AI284" s="34"/>
      <c r="AJ284" s="34"/>
      <c r="AK284" s="34"/>
      <c r="AL284" s="34"/>
      <c r="AM284" s="34"/>
    </row>
    <row r="285" spans="33:39" s="26" customFormat="1" ht="12.75">
      <c r="AG285" s="34"/>
      <c r="AH285" s="34"/>
      <c r="AI285" s="34"/>
      <c r="AJ285" s="34"/>
      <c r="AK285" s="34"/>
      <c r="AL285" s="34"/>
      <c r="AM285" s="34"/>
    </row>
    <row r="286" spans="33:39" s="26" customFormat="1" ht="12.75">
      <c r="AG286" s="34"/>
      <c r="AH286" s="34"/>
      <c r="AI286" s="34"/>
      <c r="AJ286" s="34"/>
      <c r="AK286" s="34"/>
      <c r="AL286" s="34"/>
      <c r="AM286" s="34"/>
    </row>
    <row r="287" spans="33:39" s="26" customFormat="1" ht="12.75">
      <c r="AG287" s="34"/>
      <c r="AH287" s="34"/>
      <c r="AI287" s="34"/>
      <c r="AJ287" s="34"/>
      <c r="AK287" s="34"/>
      <c r="AL287" s="34"/>
      <c r="AM287" s="34"/>
    </row>
    <row r="288" spans="33:39" s="26" customFormat="1" ht="12.75">
      <c r="AG288" s="34"/>
      <c r="AH288" s="34"/>
      <c r="AI288" s="34"/>
      <c r="AJ288" s="34"/>
      <c r="AK288" s="34"/>
      <c r="AL288" s="34"/>
      <c r="AM288" s="34"/>
    </row>
    <row r="289" spans="33:39" s="26" customFormat="1" ht="12.75">
      <c r="AG289" s="34"/>
      <c r="AH289" s="34"/>
      <c r="AI289" s="34"/>
      <c r="AJ289" s="34"/>
      <c r="AK289" s="34"/>
      <c r="AL289" s="34"/>
      <c r="AM289" s="34"/>
    </row>
    <row r="290" spans="33:39" s="26" customFormat="1" ht="12.75">
      <c r="AG290" s="34"/>
      <c r="AH290" s="34"/>
      <c r="AI290" s="34"/>
      <c r="AJ290" s="34"/>
      <c r="AK290" s="34"/>
      <c r="AL290" s="34"/>
      <c r="AM290" s="34"/>
    </row>
    <row r="291" spans="33:39" s="26" customFormat="1" ht="12.75">
      <c r="AG291" s="34"/>
      <c r="AH291" s="34"/>
      <c r="AI291" s="34"/>
      <c r="AJ291" s="34"/>
      <c r="AK291" s="34"/>
      <c r="AL291" s="34"/>
      <c r="AM291" s="34"/>
    </row>
    <row r="292" spans="33:39" s="26" customFormat="1" ht="12.75">
      <c r="AG292" s="34"/>
      <c r="AH292" s="34"/>
      <c r="AI292" s="34"/>
      <c r="AJ292" s="34"/>
      <c r="AK292" s="34"/>
      <c r="AL292" s="34"/>
      <c r="AM292" s="34"/>
    </row>
    <row r="293" spans="33:39" s="26" customFormat="1" ht="12.75">
      <c r="AG293" s="34"/>
      <c r="AH293" s="34"/>
      <c r="AI293" s="34"/>
      <c r="AJ293" s="34"/>
      <c r="AK293" s="34"/>
      <c r="AL293" s="34"/>
      <c r="AM293" s="34"/>
    </row>
    <row r="294" spans="33:39" s="26" customFormat="1" ht="12.75">
      <c r="AG294" s="34"/>
      <c r="AH294" s="34"/>
      <c r="AI294" s="34"/>
      <c r="AJ294" s="34"/>
      <c r="AK294" s="34"/>
      <c r="AL294" s="34"/>
      <c r="AM294" s="34"/>
    </row>
    <row r="295" spans="33:39" s="26" customFormat="1" ht="12.75">
      <c r="AG295" s="34"/>
      <c r="AH295" s="34"/>
      <c r="AI295" s="34"/>
      <c r="AJ295" s="34"/>
      <c r="AK295" s="34"/>
      <c r="AL295" s="34"/>
      <c r="AM295" s="34"/>
    </row>
    <row r="296" spans="33:39" s="26" customFormat="1" ht="12.75">
      <c r="AG296" s="34"/>
      <c r="AH296" s="34"/>
      <c r="AI296" s="34"/>
      <c r="AJ296" s="34"/>
      <c r="AK296" s="34"/>
      <c r="AL296" s="34"/>
      <c r="AM296" s="34"/>
    </row>
    <row r="297" spans="33:39" s="26" customFormat="1" ht="12.75">
      <c r="AG297" s="34"/>
      <c r="AH297" s="34"/>
      <c r="AI297" s="34"/>
      <c r="AJ297" s="34"/>
      <c r="AK297" s="34"/>
      <c r="AL297" s="34"/>
      <c r="AM297" s="34"/>
    </row>
    <row r="298" spans="33:39" s="26" customFormat="1" ht="12.75">
      <c r="AG298" s="34"/>
      <c r="AH298" s="34"/>
      <c r="AI298" s="34"/>
      <c r="AJ298" s="34"/>
      <c r="AK298" s="34"/>
      <c r="AL298" s="34"/>
      <c r="AM298" s="34"/>
    </row>
    <row r="299" spans="33:39" s="26" customFormat="1" ht="12.75">
      <c r="AG299" s="34"/>
      <c r="AH299" s="34"/>
      <c r="AI299" s="34"/>
      <c r="AJ299" s="34"/>
      <c r="AK299" s="34"/>
      <c r="AL299" s="34"/>
      <c r="AM299" s="34"/>
    </row>
    <row r="300" spans="33:39" s="26" customFormat="1" ht="12.75">
      <c r="AG300" s="34"/>
      <c r="AH300" s="34"/>
      <c r="AI300" s="34"/>
      <c r="AJ300" s="34"/>
      <c r="AK300" s="34"/>
      <c r="AL300" s="34"/>
      <c r="AM300" s="34"/>
    </row>
    <row r="301" spans="33:39" s="26" customFormat="1" ht="12.75">
      <c r="AG301" s="34"/>
      <c r="AH301" s="34"/>
      <c r="AI301" s="34"/>
      <c r="AJ301" s="34"/>
      <c r="AK301" s="34"/>
      <c r="AL301" s="34"/>
      <c r="AM301" s="34"/>
    </row>
    <row r="302" spans="33:39" s="26" customFormat="1" ht="12.75">
      <c r="AG302" s="34"/>
      <c r="AH302" s="34"/>
      <c r="AI302" s="34"/>
      <c r="AJ302" s="34"/>
      <c r="AK302" s="34"/>
      <c r="AL302" s="34"/>
      <c r="AM302" s="34"/>
    </row>
    <row r="303" spans="33:39" s="26" customFormat="1" ht="12.75">
      <c r="AG303" s="34"/>
      <c r="AH303" s="34"/>
      <c r="AI303" s="34"/>
      <c r="AJ303" s="34"/>
      <c r="AK303" s="34"/>
      <c r="AL303" s="34"/>
      <c r="AM303" s="34"/>
    </row>
    <row r="304" spans="33:39" s="26" customFormat="1" ht="12.75">
      <c r="AG304" s="34"/>
      <c r="AH304" s="34"/>
      <c r="AI304" s="34"/>
      <c r="AJ304" s="34"/>
      <c r="AK304" s="34"/>
      <c r="AL304" s="34"/>
      <c r="AM304" s="34"/>
    </row>
    <row r="305" spans="33:39" s="26" customFormat="1" ht="12.75">
      <c r="AG305" s="34"/>
      <c r="AH305" s="34"/>
      <c r="AI305" s="34"/>
      <c r="AJ305" s="34"/>
      <c r="AK305" s="34"/>
      <c r="AL305" s="34"/>
      <c r="AM305" s="34"/>
    </row>
    <row r="306" spans="33:39" s="26" customFormat="1" ht="12.75">
      <c r="AG306" s="34"/>
      <c r="AH306" s="34"/>
      <c r="AI306" s="34"/>
      <c r="AJ306" s="34"/>
      <c r="AK306" s="34"/>
      <c r="AL306" s="34"/>
      <c r="AM306" s="34"/>
    </row>
    <row r="307" spans="33:39" s="26" customFormat="1" ht="12.75">
      <c r="AG307" s="34"/>
      <c r="AH307" s="34"/>
      <c r="AI307" s="34"/>
      <c r="AJ307" s="34"/>
      <c r="AK307" s="34"/>
      <c r="AL307" s="34"/>
      <c r="AM307" s="34"/>
    </row>
    <row r="308" spans="33:39" s="26" customFormat="1" ht="12.75">
      <c r="AG308" s="34"/>
      <c r="AH308" s="34"/>
      <c r="AI308" s="34"/>
      <c r="AJ308" s="34"/>
      <c r="AK308" s="34"/>
      <c r="AL308" s="34"/>
      <c r="AM308" s="34"/>
    </row>
    <row r="309" spans="33:39" s="26" customFormat="1" ht="12.75">
      <c r="AG309" s="34"/>
      <c r="AH309" s="34"/>
      <c r="AI309" s="34"/>
      <c r="AJ309" s="34"/>
      <c r="AK309" s="34"/>
      <c r="AL309" s="34"/>
      <c r="AM309" s="34"/>
    </row>
    <row r="310" spans="33:39" s="26" customFormat="1" ht="12.75">
      <c r="AG310" s="34"/>
      <c r="AH310" s="34"/>
      <c r="AI310" s="34"/>
      <c r="AJ310" s="34"/>
      <c r="AK310" s="34"/>
      <c r="AL310" s="34"/>
      <c r="AM310" s="34"/>
    </row>
    <row r="311" spans="33:39" s="26" customFormat="1" ht="12.75">
      <c r="AG311" s="34"/>
      <c r="AH311" s="34"/>
      <c r="AI311" s="34"/>
      <c r="AJ311" s="34"/>
      <c r="AK311" s="34"/>
      <c r="AL311" s="34"/>
      <c r="AM311" s="34"/>
    </row>
    <row r="312" spans="33:39" s="26" customFormat="1" ht="12.75">
      <c r="AG312" s="34"/>
      <c r="AH312" s="34"/>
      <c r="AI312" s="34"/>
      <c r="AJ312" s="34"/>
      <c r="AK312" s="34"/>
      <c r="AL312" s="34"/>
      <c r="AM312" s="34"/>
    </row>
    <row r="313" spans="33:39" s="26" customFormat="1" ht="12.75">
      <c r="AG313" s="34"/>
      <c r="AH313" s="34"/>
      <c r="AI313" s="34"/>
      <c r="AJ313" s="34"/>
      <c r="AK313" s="34"/>
      <c r="AL313" s="34"/>
      <c r="AM313" s="34"/>
    </row>
    <row r="314" spans="33:39" s="26" customFormat="1" ht="12.75">
      <c r="AG314" s="34"/>
      <c r="AH314" s="34"/>
      <c r="AI314" s="34"/>
      <c r="AJ314" s="34"/>
      <c r="AK314" s="34"/>
      <c r="AL314" s="34"/>
      <c r="AM314" s="34"/>
    </row>
    <row r="315" spans="33:39" s="26" customFormat="1" ht="12.75">
      <c r="AG315" s="34"/>
      <c r="AH315" s="34"/>
      <c r="AI315" s="34"/>
      <c r="AJ315" s="34"/>
      <c r="AK315" s="34"/>
      <c r="AL315" s="34"/>
      <c r="AM315" s="34"/>
    </row>
    <row r="316" spans="33:39" s="26" customFormat="1" ht="12.75">
      <c r="AG316" s="34"/>
      <c r="AH316" s="34"/>
      <c r="AI316" s="34"/>
      <c r="AJ316" s="34"/>
      <c r="AK316" s="34"/>
      <c r="AL316" s="34"/>
      <c r="AM316" s="34"/>
    </row>
    <row r="317" spans="33:39" s="26" customFormat="1" ht="12.75">
      <c r="AG317" s="34"/>
      <c r="AH317" s="34"/>
      <c r="AI317" s="34"/>
      <c r="AJ317" s="34"/>
      <c r="AK317" s="34"/>
      <c r="AL317" s="34"/>
      <c r="AM317" s="34"/>
    </row>
    <row r="318" spans="33:39" s="26" customFormat="1" ht="12.75">
      <c r="AG318" s="34"/>
      <c r="AH318" s="34"/>
      <c r="AI318" s="34"/>
      <c r="AJ318" s="34"/>
      <c r="AK318" s="34"/>
      <c r="AL318" s="34"/>
      <c r="AM318" s="34"/>
    </row>
    <row r="319" spans="33:39" s="26" customFormat="1" ht="12.75">
      <c r="AG319" s="34"/>
      <c r="AH319" s="34"/>
      <c r="AI319" s="34"/>
      <c r="AJ319" s="34"/>
      <c r="AK319" s="34"/>
      <c r="AL319" s="34"/>
      <c r="AM319" s="34"/>
    </row>
    <row r="320" spans="33:39" s="26" customFormat="1" ht="12.75">
      <c r="AG320" s="34"/>
      <c r="AH320" s="34"/>
      <c r="AI320" s="34"/>
      <c r="AJ320" s="34"/>
      <c r="AK320" s="34"/>
      <c r="AL320" s="34"/>
      <c r="AM320" s="34"/>
    </row>
    <row r="321" spans="33:39" s="26" customFormat="1" ht="12.75">
      <c r="AG321" s="34"/>
      <c r="AH321" s="34"/>
      <c r="AI321" s="34"/>
      <c r="AJ321" s="34"/>
      <c r="AK321" s="34"/>
      <c r="AL321" s="34"/>
      <c r="AM321" s="34"/>
    </row>
    <row r="322" spans="33:39" s="26" customFormat="1" ht="12.75">
      <c r="AG322" s="34"/>
      <c r="AH322" s="34"/>
      <c r="AI322" s="34"/>
      <c r="AJ322" s="34"/>
      <c r="AK322" s="34"/>
      <c r="AL322" s="34"/>
      <c r="AM322" s="34"/>
    </row>
    <row r="323" spans="33:39" s="26" customFormat="1" ht="12.75">
      <c r="AG323" s="34"/>
      <c r="AH323" s="34"/>
      <c r="AI323" s="34"/>
      <c r="AJ323" s="34"/>
      <c r="AK323" s="34"/>
      <c r="AL323" s="34"/>
      <c r="AM323" s="34"/>
    </row>
    <row r="324" spans="33:39" s="26" customFormat="1" ht="12.75">
      <c r="AG324" s="34"/>
      <c r="AH324" s="34"/>
      <c r="AI324" s="34"/>
      <c r="AJ324" s="34"/>
      <c r="AK324" s="34"/>
      <c r="AL324" s="34"/>
      <c r="AM324" s="34"/>
    </row>
    <row r="325" spans="33:39" s="26" customFormat="1" ht="12.75">
      <c r="AG325" s="34"/>
      <c r="AH325" s="34"/>
      <c r="AI325" s="34"/>
      <c r="AJ325" s="34"/>
      <c r="AK325" s="34"/>
      <c r="AL325" s="34"/>
      <c r="AM325" s="34"/>
    </row>
    <row r="326" spans="33:39" s="26" customFormat="1" ht="12.75">
      <c r="AG326" s="34"/>
      <c r="AH326" s="34"/>
      <c r="AI326" s="34"/>
      <c r="AJ326" s="34"/>
      <c r="AK326" s="34"/>
      <c r="AL326" s="34"/>
      <c r="AM326" s="34"/>
    </row>
    <row r="327" spans="33:39" s="26" customFormat="1" ht="12.75">
      <c r="AG327" s="34"/>
      <c r="AH327" s="34"/>
      <c r="AI327" s="34"/>
      <c r="AJ327" s="34"/>
      <c r="AK327" s="34"/>
      <c r="AL327" s="34"/>
      <c r="AM327" s="34"/>
    </row>
    <row r="328" spans="33:39" s="26" customFormat="1" ht="12.75">
      <c r="AG328" s="34"/>
      <c r="AH328" s="34"/>
      <c r="AI328" s="34"/>
      <c r="AJ328" s="34"/>
      <c r="AK328" s="34"/>
      <c r="AL328" s="34"/>
      <c r="AM328" s="34"/>
    </row>
    <row r="329" spans="33:39" s="26" customFormat="1" ht="12.75">
      <c r="AG329" s="34"/>
      <c r="AH329" s="34"/>
      <c r="AI329" s="34"/>
      <c r="AJ329" s="34"/>
      <c r="AK329" s="34"/>
      <c r="AL329" s="34"/>
      <c r="AM329" s="34"/>
    </row>
    <row r="330" spans="33:39" s="26" customFormat="1" ht="12.75">
      <c r="AG330" s="34"/>
      <c r="AH330" s="34"/>
      <c r="AI330" s="34"/>
      <c r="AJ330" s="34"/>
      <c r="AK330" s="34"/>
      <c r="AL330" s="34"/>
      <c r="AM330" s="34"/>
    </row>
    <row r="331" spans="33:39" s="26" customFormat="1" ht="12.75">
      <c r="AG331" s="34"/>
      <c r="AH331" s="34"/>
      <c r="AI331" s="34"/>
      <c r="AJ331" s="34"/>
      <c r="AK331" s="34"/>
      <c r="AL331" s="34"/>
      <c r="AM331" s="34"/>
    </row>
    <row r="332" spans="33:39" s="26" customFormat="1" ht="12.75">
      <c r="AG332" s="34"/>
      <c r="AH332" s="34"/>
      <c r="AI332" s="34"/>
      <c r="AJ332" s="34"/>
      <c r="AK332" s="34"/>
      <c r="AL332" s="34"/>
      <c r="AM332" s="34"/>
    </row>
    <row r="333" spans="33:39" s="26" customFormat="1" ht="12.75">
      <c r="AG333" s="34"/>
      <c r="AH333" s="34"/>
      <c r="AI333" s="34"/>
      <c r="AJ333" s="34"/>
      <c r="AK333" s="34"/>
      <c r="AL333" s="34"/>
      <c r="AM333" s="34"/>
    </row>
    <row r="334" spans="33:39" s="26" customFormat="1" ht="12.75">
      <c r="AG334" s="34"/>
      <c r="AH334" s="34"/>
      <c r="AI334" s="34"/>
      <c r="AJ334" s="34"/>
      <c r="AK334" s="34"/>
      <c r="AL334" s="34"/>
      <c r="AM334" s="34"/>
    </row>
    <row r="335" spans="33:39" s="26" customFormat="1" ht="12.75">
      <c r="AG335" s="34"/>
      <c r="AH335" s="34"/>
      <c r="AI335" s="34"/>
      <c r="AJ335" s="34"/>
      <c r="AK335" s="34"/>
      <c r="AL335" s="34"/>
      <c r="AM335" s="34"/>
    </row>
    <row r="336" spans="33:39" s="26" customFormat="1" ht="12.75">
      <c r="AG336" s="34"/>
      <c r="AH336" s="34"/>
      <c r="AI336" s="34"/>
      <c r="AJ336" s="34"/>
      <c r="AK336" s="34"/>
      <c r="AL336" s="34"/>
      <c r="AM336" s="34"/>
    </row>
    <row r="337" spans="33:39" s="26" customFormat="1" ht="12.75">
      <c r="AG337" s="34"/>
      <c r="AH337" s="34"/>
      <c r="AI337" s="34"/>
      <c r="AJ337" s="34"/>
      <c r="AK337" s="34"/>
      <c r="AL337" s="34"/>
      <c r="AM337" s="34"/>
    </row>
    <row r="338" spans="33:39" s="26" customFormat="1" ht="12.75">
      <c r="AG338" s="34"/>
      <c r="AH338" s="34"/>
      <c r="AI338" s="34"/>
      <c r="AJ338" s="34"/>
      <c r="AK338" s="34"/>
      <c r="AL338" s="34"/>
      <c r="AM338" s="34"/>
    </row>
    <row r="339" spans="33:39" s="26" customFormat="1" ht="12.75">
      <c r="AG339" s="34"/>
      <c r="AH339" s="34"/>
      <c r="AI339" s="34"/>
      <c r="AJ339" s="34"/>
      <c r="AK339" s="34"/>
      <c r="AL339" s="34"/>
      <c r="AM339" s="34"/>
    </row>
    <row r="340" spans="33:39" s="26" customFormat="1" ht="12.75">
      <c r="AG340" s="34"/>
      <c r="AH340" s="34"/>
      <c r="AI340" s="34"/>
      <c r="AJ340" s="34"/>
      <c r="AK340" s="34"/>
      <c r="AL340" s="34"/>
      <c r="AM340" s="34"/>
    </row>
    <row r="341" spans="33:39" s="26" customFormat="1" ht="12.75">
      <c r="AG341" s="34"/>
      <c r="AH341" s="34"/>
      <c r="AI341" s="34"/>
      <c r="AJ341" s="34"/>
      <c r="AK341" s="34"/>
      <c r="AL341" s="34"/>
      <c r="AM341" s="34"/>
    </row>
    <row r="342" spans="33:39" s="26" customFormat="1" ht="12.75">
      <c r="AG342" s="34"/>
      <c r="AH342" s="34"/>
      <c r="AI342" s="34"/>
      <c r="AJ342" s="34"/>
      <c r="AK342" s="34"/>
      <c r="AL342" s="34"/>
      <c r="AM342" s="34"/>
    </row>
    <row r="343" spans="33:39" s="26" customFormat="1" ht="12.75">
      <c r="AG343" s="34"/>
      <c r="AH343" s="34"/>
      <c r="AI343" s="34"/>
      <c r="AJ343" s="34"/>
      <c r="AK343" s="34"/>
      <c r="AL343" s="34"/>
      <c r="AM343" s="34"/>
    </row>
    <row r="344" spans="33:39" s="26" customFormat="1" ht="12.75">
      <c r="AG344" s="34"/>
      <c r="AH344" s="34"/>
      <c r="AI344" s="34"/>
      <c r="AJ344" s="34"/>
      <c r="AK344" s="34"/>
      <c r="AL344" s="34"/>
      <c r="AM344" s="34"/>
    </row>
    <row r="345" spans="33:39" s="26" customFormat="1" ht="12.75">
      <c r="AG345" s="34"/>
      <c r="AH345" s="34"/>
      <c r="AI345" s="34"/>
      <c r="AJ345" s="34"/>
      <c r="AK345" s="34"/>
      <c r="AL345" s="34"/>
      <c r="AM345" s="34"/>
    </row>
    <row r="346" spans="33:39" s="26" customFormat="1" ht="12.75">
      <c r="AG346" s="34"/>
      <c r="AH346" s="34"/>
      <c r="AI346" s="34"/>
      <c r="AJ346" s="34"/>
      <c r="AK346" s="34"/>
      <c r="AL346" s="34"/>
      <c r="AM346" s="34"/>
    </row>
    <row r="347" spans="33:39" s="26" customFormat="1" ht="12.75">
      <c r="AG347" s="34"/>
      <c r="AH347" s="34"/>
      <c r="AI347" s="34"/>
      <c r="AJ347" s="34"/>
      <c r="AK347" s="34"/>
      <c r="AL347" s="34"/>
      <c r="AM347" s="34"/>
    </row>
    <row r="348" spans="33:39" s="26" customFormat="1" ht="12.75">
      <c r="AG348" s="34"/>
      <c r="AH348" s="34"/>
      <c r="AI348" s="34"/>
      <c r="AJ348" s="34"/>
      <c r="AK348" s="34"/>
      <c r="AL348" s="34"/>
      <c r="AM348" s="34"/>
    </row>
    <row r="349" spans="33:39" s="26" customFormat="1" ht="12.75">
      <c r="AG349" s="34"/>
      <c r="AH349" s="34"/>
      <c r="AI349" s="34"/>
      <c r="AJ349" s="34"/>
      <c r="AK349" s="34"/>
      <c r="AL349" s="34"/>
      <c r="AM349" s="34"/>
    </row>
    <row r="350" spans="33:39" s="26" customFormat="1" ht="12.75">
      <c r="AG350" s="34"/>
      <c r="AH350" s="34"/>
      <c r="AI350" s="34"/>
      <c r="AJ350" s="34"/>
      <c r="AK350" s="34"/>
      <c r="AL350" s="34"/>
      <c r="AM350" s="34"/>
    </row>
    <row r="351" spans="33:39" s="26" customFormat="1" ht="12.75">
      <c r="AG351" s="34"/>
      <c r="AH351" s="34"/>
      <c r="AI351" s="34"/>
      <c r="AJ351" s="34"/>
      <c r="AK351" s="34"/>
      <c r="AL351" s="34"/>
      <c r="AM351" s="34"/>
    </row>
    <row r="352" spans="33:39" s="26" customFormat="1" ht="12.75">
      <c r="AG352" s="34"/>
      <c r="AH352" s="34"/>
      <c r="AI352" s="34"/>
      <c r="AJ352" s="34"/>
      <c r="AK352" s="34"/>
      <c r="AL352" s="34"/>
      <c r="AM352" s="34"/>
    </row>
    <row r="353" spans="33:39" s="26" customFormat="1" ht="12.75">
      <c r="AG353" s="34"/>
      <c r="AH353" s="34"/>
      <c r="AI353" s="34"/>
      <c r="AJ353" s="34"/>
      <c r="AK353" s="34"/>
      <c r="AL353" s="34"/>
      <c r="AM353" s="34"/>
    </row>
    <row r="354" spans="33:39" s="26" customFormat="1" ht="12.75">
      <c r="AG354" s="34"/>
      <c r="AH354" s="34"/>
      <c r="AI354" s="34"/>
      <c r="AJ354" s="34"/>
      <c r="AK354" s="34"/>
      <c r="AL354" s="34"/>
      <c r="AM354" s="34"/>
    </row>
    <row r="355" spans="33:39" s="26" customFormat="1" ht="12.75">
      <c r="AG355" s="34"/>
      <c r="AH355" s="34"/>
      <c r="AI355" s="34"/>
      <c r="AJ355" s="34"/>
      <c r="AK355" s="34"/>
      <c r="AL355" s="34"/>
      <c r="AM355" s="34"/>
    </row>
    <row r="356" spans="33:39" s="26" customFormat="1" ht="12.75">
      <c r="AG356" s="34"/>
      <c r="AH356" s="34"/>
      <c r="AI356" s="34"/>
      <c r="AJ356" s="34"/>
      <c r="AK356" s="34"/>
      <c r="AL356" s="34"/>
      <c r="AM356" s="34"/>
    </row>
    <row r="357" spans="33:39" s="26" customFormat="1" ht="12.75">
      <c r="AG357" s="34"/>
      <c r="AH357" s="34"/>
      <c r="AI357" s="34"/>
      <c r="AJ357" s="34"/>
      <c r="AK357" s="34"/>
      <c r="AL357" s="34"/>
      <c r="AM357" s="34"/>
    </row>
    <row r="358" spans="33:39" s="26" customFormat="1" ht="12.75">
      <c r="AG358" s="34"/>
      <c r="AH358" s="34"/>
      <c r="AI358" s="34"/>
      <c r="AJ358" s="34"/>
      <c r="AK358" s="34"/>
      <c r="AL358" s="34"/>
      <c r="AM358" s="34"/>
    </row>
    <row r="359" spans="33:39" s="26" customFormat="1" ht="12.75">
      <c r="AG359" s="34"/>
      <c r="AH359" s="34"/>
      <c r="AI359" s="34"/>
      <c r="AJ359" s="34"/>
      <c r="AK359" s="34"/>
      <c r="AL359" s="34"/>
      <c r="AM359" s="34"/>
    </row>
    <row r="360" spans="33:39" s="26" customFormat="1" ht="12.75">
      <c r="AG360" s="34"/>
      <c r="AH360" s="34"/>
      <c r="AI360" s="34"/>
      <c r="AJ360" s="34"/>
      <c r="AK360" s="34"/>
      <c r="AL360" s="34"/>
      <c r="AM360" s="34"/>
    </row>
    <row r="361" spans="33:39" s="26" customFormat="1" ht="12.75">
      <c r="AG361" s="34"/>
      <c r="AH361" s="34"/>
      <c r="AI361" s="34"/>
      <c r="AJ361" s="34"/>
      <c r="AK361" s="34"/>
      <c r="AL361" s="34"/>
      <c r="AM361" s="34"/>
    </row>
    <row r="362" spans="33:39" s="26" customFormat="1" ht="12.75">
      <c r="AG362" s="34"/>
      <c r="AH362" s="34"/>
      <c r="AI362" s="34"/>
      <c r="AJ362" s="34"/>
      <c r="AK362" s="34"/>
      <c r="AL362" s="34"/>
      <c r="AM362" s="34"/>
    </row>
    <row r="363" spans="33:39" s="26" customFormat="1" ht="12.75">
      <c r="AG363" s="34"/>
      <c r="AH363" s="34"/>
      <c r="AI363" s="34"/>
      <c r="AJ363" s="34"/>
      <c r="AK363" s="34"/>
      <c r="AL363" s="34"/>
      <c r="AM363" s="34"/>
    </row>
    <row r="364" spans="33:39" s="26" customFormat="1" ht="12.75">
      <c r="AG364" s="34"/>
      <c r="AH364" s="34"/>
      <c r="AI364" s="34"/>
      <c r="AJ364" s="34"/>
      <c r="AK364" s="34"/>
      <c r="AL364" s="34"/>
      <c r="AM364" s="34"/>
    </row>
    <row r="365" spans="33:39" s="26" customFormat="1" ht="12.75">
      <c r="AG365" s="34"/>
      <c r="AH365" s="34"/>
      <c r="AI365" s="34"/>
      <c r="AJ365" s="34"/>
      <c r="AK365" s="34"/>
      <c r="AL365" s="34"/>
      <c r="AM365" s="34"/>
    </row>
    <row r="366" spans="33:39" s="26" customFormat="1" ht="12.75">
      <c r="AG366" s="34"/>
      <c r="AH366" s="34"/>
      <c r="AI366" s="34"/>
      <c r="AJ366" s="34"/>
      <c r="AK366" s="34"/>
      <c r="AL366" s="34"/>
      <c r="AM366" s="34"/>
    </row>
    <row r="367" spans="33:39" s="26" customFormat="1" ht="12.75">
      <c r="AG367" s="34"/>
      <c r="AH367" s="34"/>
      <c r="AI367" s="34"/>
      <c r="AJ367" s="34"/>
      <c r="AK367" s="34"/>
      <c r="AL367" s="34"/>
      <c r="AM367" s="34"/>
    </row>
    <row r="368" spans="33:39" s="26" customFormat="1" ht="12.75">
      <c r="AG368" s="34"/>
      <c r="AH368" s="34"/>
      <c r="AI368" s="34"/>
      <c r="AJ368" s="34"/>
      <c r="AK368" s="34"/>
      <c r="AL368" s="34"/>
      <c r="AM368" s="34"/>
    </row>
    <row r="369" spans="33:39" s="26" customFormat="1" ht="12.75">
      <c r="AG369" s="34"/>
      <c r="AH369" s="34"/>
      <c r="AI369" s="34"/>
      <c r="AJ369" s="34"/>
      <c r="AK369" s="34"/>
      <c r="AL369" s="34"/>
      <c r="AM369" s="34"/>
    </row>
    <row r="370" spans="33:39" s="26" customFormat="1" ht="12.75">
      <c r="AG370" s="34"/>
      <c r="AH370" s="34"/>
      <c r="AI370" s="34"/>
      <c r="AJ370" s="34"/>
      <c r="AK370" s="34"/>
      <c r="AL370" s="34"/>
      <c r="AM370" s="34"/>
    </row>
    <row r="371" spans="33:39" s="26" customFormat="1" ht="12.75">
      <c r="AG371" s="34"/>
      <c r="AH371" s="34"/>
      <c r="AI371" s="34"/>
      <c r="AJ371" s="34"/>
      <c r="AK371" s="34"/>
      <c r="AL371" s="34"/>
      <c r="AM371" s="34"/>
    </row>
    <row r="372" spans="33:39" s="26" customFormat="1" ht="12.75">
      <c r="AG372" s="34"/>
      <c r="AH372" s="34"/>
      <c r="AI372" s="34"/>
      <c r="AJ372" s="34"/>
      <c r="AK372" s="34"/>
      <c r="AL372" s="34"/>
      <c r="AM372" s="34"/>
    </row>
    <row r="373" spans="33:39" s="26" customFormat="1" ht="12.75">
      <c r="AG373" s="34"/>
      <c r="AH373" s="34"/>
      <c r="AI373" s="34"/>
      <c r="AJ373" s="34"/>
      <c r="AK373" s="34"/>
      <c r="AL373" s="34"/>
      <c r="AM373" s="34"/>
    </row>
    <row r="374" spans="33:39" s="26" customFormat="1" ht="12.75">
      <c r="AG374" s="34"/>
      <c r="AH374" s="34"/>
      <c r="AI374" s="34"/>
      <c r="AJ374" s="34"/>
      <c r="AK374" s="34"/>
      <c r="AL374" s="34"/>
      <c r="AM374" s="34"/>
    </row>
    <row r="375" spans="33:39" s="26" customFormat="1" ht="12.75">
      <c r="AG375" s="34"/>
      <c r="AH375" s="34"/>
      <c r="AI375" s="34"/>
      <c r="AJ375" s="34"/>
      <c r="AK375" s="34"/>
      <c r="AL375" s="34"/>
      <c r="AM375" s="34"/>
    </row>
    <row r="376" spans="33:39" s="26" customFormat="1" ht="12.75">
      <c r="AG376" s="34"/>
      <c r="AH376" s="34"/>
      <c r="AI376" s="34"/>
      <c r="AJ376" s="34"/>
      <c r="AK376" s="34"/>
      <c r="AL376" s="34"/>
      <c r="AM376" s="34"/>
    </row>
    <row r="377" spans="33:39" s="26" customFormat="1" ht="12.75">
      <c r="AG377" s="34"/>
      <c r="AH377" s="34"/>
      <c r="AI377" s="34"/>
      <c r="AJ377" s="34"/>
      <c r="AK377" s="34"/>
      <c r="AL377" s="34"/>
      <c r="AM377" s="34"/>
    </row>
    <row r="378" spans="33:39" s="26" customFormat="1" ht="12.75">
      <c r="AG378" s="34"/>
      <c r="AH378" s="34"/>
      <c r="AI378" s="34"/>
      <c r="AJ378" s="34"/>
      <c r="AK378" s="34"/>
      <c r="AL378" s="34"/>
      <c r="AM378" s="34"/>
    </row>
    <row r="379" spans="33:39" s="26" customFormat="1" ht="12.75">
      <c r="AG379" s="34"/>
      <c r="AH379" s="34"/>
      <c r="AI379" s="34"/>
      <c r="AJ379" s="34"/>
      <c r="AK379" s="34"/>
      <c r="AL379" s="34"/>
      <c r="AM379" s="34"/>
    </row>
    <row r="380" spans="33:39" s="26" customFormat="1" ht="12.75">
      <c r="AG380" s="34"/>
      <c r="AH380" s="34"/>
      <c r="AI380" s="34"/>
      <c r="AJ380" s="34"/>
      <c r="AK380" s="34"/>
      <c r="AL380" s="34"/>
      <c r="AM380" s="34"/>
    </row>
    <row r="381" spans="33:39" s="26" customFormat="1" ht="12.75">
      <c r="AG381" s="34"/>
      <c r="AH381" s="34"/>
      <c r="AI381" s="34"/>
      <c r="AJ381" s="34"/>
      <c r="AK381" s="34"/>
      <c r="AL381" s="34"/>
      <c r="AM381" s="34"/>
    </row>
    <row r="382" spans="33:39" s="26" customFormat="1" ht="12.75">
      <c r="AG382" s="34"/>
      <c r="AH382" s="34"/>
      <c r="AI382" s="34"/>
      <c r="AJ382" s="34"/>
      <c r="AK382" s="34"/>
      <c r="AL382" s="34"/>
      <c r="AM382" s="34"/>
    </row>
    <row r="383" spans="33:39" s="26" customFormat="1" ht="12.75">
      <c r="AG383" s="34"/>
      <c r="AH383" s="34"/>
      <c r="AI383" s="34"/>
      <c r="AJ383" s="34"/>
      <c r="AK383" s="34"/>
      <c r="AL383" s="34"/>
      <c r="AM383" s="34"/>
    </row>
    <row r="384" spans="33:39" s="26" customFormat="1" ht="12.75">
      <c r="AG384" s="34"/>
      <c r="AH384" s="34"/>
      <c r="AI384" s="34"/>
      <c r="AJ384" s="34"/>
      <c r="AK384" s="34"/>
      <c r="AL384" s="34"/>
      <c r="AM384" s="34"/>
    </row>
    <row r="385" spans="33:39" s="26" customFormat="1" ht="12.75">
      <c r="AG385" s="34"/>
      <c r="AH385" s="34"/>
      <c r="AI385" s="34"/>
      <c r="AJ385" s="34"/>
      <c r="AK385" s="34"/>
      <c r="AL385" s="34"/>
      <c r="AM385" s="34"/>
    </row>
    <row r="386" spans="33:39" s="26" customFormat="1" ht="12.75">
      <c r="AG386" s="34"/>
      <c r="AH386" s="34"/>
      <c r="AI386" s="34"/>
      <c r="AJ386" s="34"/>
      <c r="AK386" s="34"/>
      <c r="AL386" s="34"/>
      <c r="AM386" s="34"/>
    </row>
    <row r="387" spans="33:39" s="26" customFormat="1" ht="12.75">
      <c r="AG387" s="34"/>
      <c r="AH387" s="34"/>
      <c r="AI387" s="34"/>
      <c r="AJ387" s="34"/>
      <c r="AK387" s="34"/>
      <c r="AL387" s="34"/>
      <c r="AM387" s="34"/>
    </row>
    <row r="388" spans="33:39" s="26" customFormat="1" ht="12.75">
      <c r="AG388" s="34"/>
      <c r="AH388" s="34"/>
      <c r="AI388" s="34"/>
      <c r="AJ388" s="34"/>
      <c r="AK388" s="34"/>
      <c r="AL388" s="34"/>
      <c r="AM388" s="34"/>
    </row>
    <row r="389" spans="33:39" s="26" customFormat="1" ht="12.75">
      <c r="AG389" s="34"/>
      <c r="AH389" s="34"/>
      <c r="AI389" s="34"/>
      <c r="AJ389" s="34"/>
      <c r="AK389" s="34"/>
      <c r="AL389" s="34"/>
      <c r="AM389" s="34"/>
    </row>
    <row r="390" spans="33:39" s="26" customFormat="1" ht="12.75">
      <c r="AG390" s="34"/>
      <c r="AH390" s="34"/>
      <c r="AI390" s="34"/>
      <c r="AJ390" s="34"/>
      <c r="AK390" s="34"/>
      <c r="AL390" s="34"/>
      <c r="AM390" s="34"/>
    </row>
    <row r="391" spans="33:39" s="26" customFormat="1" ht="12.75">
      <c r="AG391" s="34"/>
      <c r="AH391" s="34"/>
      <c r="AI391" s="34"/>
      <c r="AJ391" s="34"/>
      <c r="AK391" s="34"/>
      <c r="AL391" s="34"/>
      <c r="AM391" s="34"/>
    </row>
    <row r="392" spans="33:39" s="26" customFormat="1" ht="12.75">
      <c r="AG392" s="34"/>
      <c r="AH392" s="34"/>
      <c r="AI392" s="34"/>
      <c r="AJ392" s="34"/>
      <c r="AK392" s="34"/>
      <c r="AL392" s="34"/>
      <c r="AM392" s="34"/>
    </row>
    <row r="393" spans="33:39" s="26" customFormat="1" ht="12.75">
      <c r="AG393" s="34"/>
      <c r="AH393" s="34"/>
      <c r="AI393" s="34"/>
      <c r="AJ393" s="34"/>
      <c r="AK393" s="34"/>
      <c r="AL393" s="34"/>
      <c r="AM393" s="34"/>
    </row>
    <row r="394" spans="33:39" s="26" customFormat="1" ht="12.75">
      <c r="AG394" s="34"/>
      <c r="AH394" s="34"/>
      <c r="AI394" s="34"/>
      <c r="AJ394" s="34"/>
      <c r="AK394" s="34"/>
      <c r="AL394" s="34"/>
      <c r="AM394" s="34"/>
    </row>
    <row r="395" spans="33:39" s="26" customFormat="1" ht="12.75">
      <c r="AG395" s="34"/>
      <c r="AH395" s="34"/>
      <c r="AI395" s="34"/>
      <c r="AJ395" s="34"/>
      <c r="AK395" s="34"/>
      <c r="AL395" s="34"/>
      <c r="AM395" s="34"/>
    </row>
    <row r="396" spans="33:39" s="26" customFormat="1" ht="12.75">
      <c r="AG396" s="34"/>
      <c r="AH396" s="34"/>
      <c r="AI396" s="34"/>
      <c r="AJ396" s="34"/>
      <c r="AK396" s="34"/>
      <c r="AL396" s="34"/>
      <c r="AM396" s="34"/>
    </row>
    <row r="397" spans="33:39" s="26" customFormat="1" ht="12.75">
      <c r="AG397" s="34"/>
      <c r="AH397" s="34"/>
      <c r="AI397" s="34"/>
      <c r="AJ397" s="34"/>
      <c r="AK397" s="34"/>
      <c r="AL397" s="34"/>
      <c r="AM397" s="34"/>
    </row>
    <row r="398" spans="33:39" s="26" customFormat="1" ht="12.75">
      <c r="AG398" s="34"/>
      <c r="AH398" s="34"/>
      <c r="AI398" s="34"/>
      <c r="AJ398" s="34"/>
      <c r="AK398" s="34"/>
      <c r="AL398" s="34"/>
      <c r="AM398" s="34"/>
    </row>
    <row r="399" spans="33:39" s="26" customFormat="1" ht="12.75">
      <c r="AG399" s="34"/>
      <c r="AH399" s="34"/>
      <c r="AI399" s="34"/>
      <c r="AJ399" s="34"/>
      <c r="AK399" s="34"/>
      <c r="AL399" s="34"/>
      <c r="AM399" s="34"/>
    </row>
    <row r="400" spans="33:39" s="26" customFormat="1" ht="12.75">
      <c r="AG400" s="34"/>
      <c r="AH400" s="34"/>
      <c r="AI400" s="34"/>
      <c r="AJ400" s="34"/>
      <c r="AK400" s="34"/>
      <c r="AL400" s="34"/>
      <c r="AM400" s="34"/>
    </row>
    <row r="401" spans="33:39" s="26" customFormat="1" ht="12.75">
      <c r="AG401" s="34"/>
      <c r="AH401" s="34"/>
      <c r="AI401" s="34"/>
      <c r="AJ401" s="34"/>
      <c r="AK401" s="34"/>
      <c r="AL401" s="34"/>
      <c r="AM401" s="34"/>
    </row>
    <row r="402" spans="33:39" s="26" customFormat="1" ht="12.75">
      <c r="AG402" s="34"/>
      <c r="AH402" s="34"/>
      <c r="AI402" s="34"/>
      <c r="AJ402" s="34"/>
      <c r="AK402" s="34"/>
      <c r="AL402" s="34"/>
      <c r="AM402" s="34"/>
    </row>
    <row r="403" spans="33:39" s="26" customFormat="1" ht="12.75">
      <c r="AG403" s="34"/>
      <c r="AH403" s="34"/>
      <c r="AI403" s="34"/>
      <c r="AJ403" s="34"/>
      <c r="AK403" s="34"/>
      <c r="AL403" s="34"/>
      <c r="AM403" s="34"/>
    </row>
    <row r="404" spans="33:39" s="26" customFormat="1" ht="12.75">
      <c r="AG404" s="34"/>
      <c r="AH404" s="34"/>
      <c r="AI404" s="34"/>
      <c r="AJ404" s="34"/>
      <c r="AK404" s="34"/>
      <c r="AL404" s="34"/>
      <c r="AM404" s="34"/>
    </row>
    <row r="405" spans="33:39" s="26" customFormat="1" ht="12.75">
      <c r="AG405" s="34"/>
      <c r="AH405" s="34"/>
      <c r="AI405" s="34"/>
      <c r="AJ405" s="34"/>
      <c r="AK405" s="34"/>
      <c r="AL405" s="34"/>
      <c r="AM405" s="34"/>
    </row>
    <row r="406" spans="33:39" s="26" customFormat="1" ht="12.75">
      <c r="AG406" s="34"/>
      <c r="AH406" s="34"/>
      <c r="AI406" s="34"/>
      <c r="AJ406" s="34"/>
      <c r="AK406" s="34"/>
      <c r="AL406" s="34"/>
      <c r="AM406" s="34"/>
    </row>
    <row r="407" spans="33:39" s="26" customFormat="1" ht="12.75">
      <c r="AG407" s="34"/>
      <c r="AH407" s="34"/>
      <c r="AI407" s="34"/>
      <c r="AJ407" s="34"/>
      <c r="AK407" s="34"/>
      <c r="AL407" s="34"/>
      <c r="AM407" s="34"/>
    </row>
    <row r="408" spans="33:39" s="26" customFormat="1" ht="12.75">
      <c r="AG408" s="34"/>
      <c r="AH408" s="34"/>
      <c r="AI408" s="34"/>
      <c r="AJ408" s="34"/>
      <c r="AK408" s="34"/>
      <c r="AL408" s="34"/>
      <c r="AM408" s="34"/>
    </row>
    <row r="409" spans="33:39" s="26" customFormat="1" ht="12.75">
      <c r="AG409" s="34"/>
      <c r="AH409" s="34"/>
      <c r="AI409" s="34"/>
      <c r="AJ409" s="34"/>
      <c r="AK409" s="34"/>
      <c r="AL409" s="34"/>
      <c r="AM409" s="34"/>
    </row>
    <row r="410" spans="33:39" s="26" customFormat="1" ht="12.75">
      <c r="AG410" s="34"/>
      <c r="AH410" s="34"/>
      <c r="AI410" s="34"/>
      <c r="AJ410" s="34"/>
      <c r="AK410" s="34"/>
      <c r="AL410" s="34"/>
      <c r="AM410" s="34"/>
    </row>
    <row r="411" spans="33:39" s="26" customFormat="1" ht="12.75">
      <c r="AG411" s="34"/>
      <c r="AH411" s="34"/>
      <c r="AI411" s="34"/>
      <c r="AJ411" s="34"/>
      <c r="AK411" s="34"/>
      <c r="AL411" s="34"/>
      <c r="AM411" s="34"/>
    </row>
    <row r="412" spans="33:39" s="26" customFormat="1" ht="12.75">
      <c r="AG412" s="34"/>
      <c r="AH412" s="34"/>
      <c r="AI412" s="34"/>
      <c r="AJ412" s="34"/>
      <c r="AK412" s="34"/>
      <c r="AL412" s="34"/>
      <c r="AM412" s="34"/>
    </row>
    <row r="413" spans="33:39" s="26" customFormat="1" ht="12.75">
      <c r="AG413" s="34"/>
      <c r="AH413" s="34"/>
      <c r="AI413" s="34"/>
      <c r="AJ413" s="34"/>
      <c r="AK413" s="34"/>
      <c r="AL413" s="34"/>
      <c r="AM413" s="34"/>
    </row>
    <row r="414" spans="33:39" s="26" customFormat="1" ht="12.75">
      <c r="AG414" s="34"/>
      <c r="AH414" s="34"/>
      <c r="AI414" s="34"/>
      <c r="AJ414" s="34"/>
      <c r="AK414" s="34"/>
      <c r="AL414" s="34"/>
      <c r="AM414" s="34"/>
    </row>
    <row r="415" spans="33:39" s="26" customFormat="1" ht="12.75">
      <c r="AG415" s="34"/>
      <c r="AH415" s="34"/>
      <c r="AI415" s="34"/>
      <c r="AJ415" s="34"/>
      <c r="AK415" s="34"/>
      <c r="AL415" s="34"/>
      <c r="AM415" s="34"/>
    </row>
    <row r="416" spans="33:39" s="26" customFormat="1" ht="12.75">
      <c r="AG416" s="34"/>
      <c r="AH416" s="34"/>
      <c r="AI416" s="34"/>
      <c r="AJ416" s="34"/>
      <c r="AK416" s="34"/>
      <c r="AL416" s="34"/>
      <c r="AM416" s="34"/>
    </row>
    <row r="417" spans="33:39" s="26" customFormat="1" ht="12.75">
      <c r="AG417" s="34"/>
      <c r="AH417" s="34"/>
      <c r="AI417" s="34"/>
      <c r="AJ417" s="34"/>
      <c r="AK417" s="34"/>
      <c r="AL417" s="34"/>
      <c r="AM417" s="34"/>
    </row>
    <row r="418" spans="33:39" s="26" customFormat="1" ht="12.75">
      <c r="AG418" s="34"/>
      <c r="AH418" s="34"/>
      <c r="AI418" s="34"/>
      <c r="AJ418" s="34"/>
      <c r="AK418" s="34"/>
      <c r="AL418" s="34"/>
      <c r="AM418" s="34"/>
    </row>
    <row r="419" spans="33:39" s="26" customFormat="1" ht="12.75">
      <c r="AG419" s="34"/>
      <c r="AH419" s="34"/>
      <c r="AI419" s="34"/>
      <c r="AJ419" s="34"/>
      <c r="AK419" s="34"/>
      <c r="AL419" s="34"/>
      <c r="AM419" s="34"/>
    </row>
    <row r="420" spans="33:39" s="26" customFormat="1" ht="12.75">
      <c r="AG420" s="34"/>
      <c r="AH420" s="34"/>
      <c r="AI420" s="34"/>
      <c r="AJ420" s="34"/>
      <c r="AK420" s="34"/>
      <c r="AL420" s="34"/>
      <c r="AM420" s="34"/>
    </row>
    <row r="421" spans="33:39" s="26" customFormat="1" ht="12.75">
      <c r="AG421" s="34"/>
      <c r="AH421" s="34"/>
      <c r="AI421" s="34"/>
      <c r="AJ421" s="34"/>
      <c r="AK421" s="34"/>
      <c r="AL421" s="34"/>
      <c r="AM421" s="34"/>
    </row>
    <row r="422" spans="33:39" s="26" customFormat="1" ht="12.75">
      <c r="AG422" s="34"/>
      <c r="AH422" s="34"/>
      <c r="AI422" s="34"/>
      <c r="AJ422" s="34"/>
      <c r="AK422" s="34"/>
      <c r="AL422" s="34"/>
      <c r="AM422" s="34"/>
    </row>
    <row r="423" spans="33:39" s="26" customFormat="1" ht="12.75">
      <c r="AG423" s="34"/>
      <c r="AH423" s="34"/>
      <c r="AI423" s="34"/>
      <c r="AJ423" s="34"/>
      <c r="AK423" s="34"/>
      <c r="AL423" s="34"/>
      <c r="AM423" s="34"/>
    </row>
    <row r="424" spans="33:39" s="26" customFormat="1" ht="12.75">
      <c r="AG424" s="34"/>
      <c r="AH424" s="34"/>
      <c r="AI424" s="34"/>
      <c r="AJ424" s="34"/>
      <c r="AK424" s="34"/>
      <c r="AL424" s="34"/>
      <c r="AM424" s="34"/>
    </row>
    <row r="425" spans="33:39" s="26" customFormat="1" ht="12.75">
      <c r="AG425" s="34"/>
      <c r="AH425" s="34"/>
      <c r="AI425" s="34"/>
      <c r="AJ425" s="34"/>
      <c r="AK425" s="34"/>
      <c r="AL425" s="34"/>
      <c r="AM425" s="34"/>
    </row>
    <row r="426" spans="33:39" s="26" customFormat="1" ht="12.75">
      <c r="AG426" s="34"/>
      <c r="AH426" s="34"/>
      <c r="AI426" s="34"/>
      <c r="AJ426" s="34"/>
      <c r="AK426" s="34"/>
      <c r="AL426" s="34"/>
      <c r="AM426" s="34"/>
    </row>
    <row r="427" spans="33:39" s="26" customFormat="1" ht="12.75">
      <c r="AG427" s="34"/>
      <c r="AH427" s="34"/>
      <c r="AI427" s="34"/>
      <c r="AJ427" s="34"/>
      <c r="AK427" s="34"/>
      <c r="AL427" s="34"/>
      <c r="AM427" s="34"/>
    </row>
    <row r="428" spans="33:39" s="26" customFormat="1" ht="12.75">
      <c r="AG428" s="34"/>
      <c r="AH428" s="34"/>
      <c r="AI428" s="34"/>
      <c r="AJ428" s="34"/>
      <c r="AK428" s="34"/>
      <c r="AL428" s="34"/>
      <c r="AM428" s="34"/>
    </row>
    <row r="429" spans="33:39" s="26" customFormat="1" ht="12.75">
      <c r="AG429" s="34"/>
      <c r="AH429" s="34"/>
      <c r="AI429" s="34"/>
      <c r="AJ429" s="34"/>
      <c r="AK429" s="34"/>
      <c r="AL429" s="34"/>
      <c r="AM429" s="34"/>
    </row>
    <row r="430" spans="33:39" s="26" customFormat="1" ht="12.75">
      <c r="AG430" s="34"/>
      <c r="AH430" s="34"/>
      <c r="AI430" s="34"/>
      <c r="AJ430" s="34"/>
      <c r="AK430" s="34"/>
      <c r="AL430" s="34"/>
      <c r="AM430" s="34"/>
    </row>
    <row r="431" spans="33:39" s="26" customFormat="1" ht="12.75">
      <c r="AG431" s="34"/>
      <c r="AH431" s="34"/>
      <c r="AI431" s="34"/>
      <c r="AJ431" s="34"/>
      <c r="AK431" s="34"/>
      <c r="AL431" s="34"/>
      <c r="AM431" s="34"/>
    </row>
    <row r="432" spans="33:39" s="26" customFormat="1" ht="12.75">
      <c r="AG432" s="34"/>
      <c r="AH432" s="34"/>
      <c r="AI432" s="34"/>
      <c r="AJ432" s="34"/>
      <c r="AK432" s="34"/>
      <c r="AL432" s="34"/>
      <c r="AM432" s="34"/>
    </row>
    <row r="433" spans="33:39" s="26" customFormat="1" ht="12.75">
      <c r="AG433" s="34"/>
      <c r="AH433" s="34"/>
      <c r="AI433" s="34"/>
      <c r="AJ433" s="34"/>
      <c r="AK433" s="34"/>
      <c r="AL433" s="34"/>
      <c r="AM433" s="34"/>
    </row>
    <row r="434" spans="33:39" s="26" customFormat="1" ht="12.75">
      <c r="AG434" s="34"/>
      <c r="AH434" s="34"/>
      <c r="AI434" s="34"/>
      <c r="AJ434" s="34"/>
      <c r="AK434" s="34"/>
      <c r="AL434" s="34"/>
      <c r="AM434" s="34"/>
    </row>
    <row r="435" spans="33:39" s="26" customFormat="1" ht="12.75">
      <c r="AG435" s="34"/>
      <c r="AH435" s="34"/>
      <c r="AI435" s="34"/>
      <c r="AJ435" s="34"/>
      <c r="AK435" s="34"/>
      <c r="AL435" s="34"/>
      <c r="AM435" s="34"/>
    </row>
    <row r="436" spans="33:39" s="26" customFormat="1" ht="12.75">
      <c r="AG436" s="34"/>
      <c r="AH436" s="34"/>
      <c r="AI436" s="34"/>
      <c r="AJ436" s="34"/>
      <c r="AK436" s="34"/>
      <c r="AL436" s="34"/>
      <c r="AM436" s="34"/>
    </row>
    <row r="437" spans="33:39" s="26" customFormat="1" ht="12.75">
      <c r="AG437" s="34"/>
      <c r="AH437" s="34"/>
      <c r="AI437" s="34"/>
      <c r="AJ437" s="34"/>
      <c r="AK437" s="34"/>
      <c r="AL437" s="34"/>
      <c r="AM437" s="34"/>
    </row>
    <row r="438" spans="33:39" s="26" customFormat="1" ht="12.75">
      <c r="AG438" s="34"/>
      <c r="AH438" s="34"/>
      <c r="AI438" s="34"/>
      <c r="AJ438" s="34"/>
      <c r="AK438" s="34"/>
      <c r="AL438" s="34"/>
      <c r="AM438" s="34"/>
    </row>
    <row r="439" spans="33:39" s="26" customFormat="1" ht="12.75">
      <c r="AG439" s="34"/>
      <c r="AH439" s="34"/>
      <c r="AI439" s="34"/>
      <c r="AJ439" s="34"/>
      <c r="AK439" s="34"/>
      <c r="AL439" s="34"/>
      <c r="AM439" s="34"/>
    </row>
    <row r="440" spans="33:39" s="26" customFormat="1" ht="12.75">
      <c r="AG440" s="34"/>
      <c r="AH440" s="34"/>
      <c r="AI440" s="34"/>
      <c r="AJ440" s="34"/>
      <c r="AK440" s="34"/>
      <c r="AL440" s="34"/>
      <c r="AM440" s="34"/>
    </row>
    <row r="441" spans="33:39" s="26" customFormat="1" ht="12.75">
      <c r="AG441" s="34"/>
      <c r="AH441" s="34"/>
      <c r="AI441" s="34"/>
      <c r="AJ441" s="34"/>
      <c r="AK441" s="34"/>
      <c r="AL441" s="34"/>
      <c r="AM441" s="34"/>
    </row>
    <row r="442" spans="33:39" s="26" customFormat="1" ht="12.75">
      <c r="AG442" s="34"/>
      <c r="AH442" s="34"/>
      <c r="AI442" s="34"/>
      <c r="AJ442" s="34"/>
      <c r="AK442" s="34"/>
      <c r="AL442" s="34"/>
      <c r="AM442" s="34"/>
    </row>
    <row r="443" spans="33:39" s="26" customFormat="1" ht="12.75">
      <c r="AG443" s="34"/>
      <c r="AH443" s="34"/>
      <c r="AI443" s="34"/>
      <c r="AJ443" s="34"/>
      <c r="AK443" s="34"/>
      <c r="AL443" s="34"/>
      <c r="AM443" s="34"/>
    </row>
    <row r="444" spans="33:39" s="26" customFormat="1" ht="12.75">
      <c r="AG444" s="34"/>
      <c r="AH444" s="34"/>
      <c r="AI444" s="34"/>
      <c r="AJ444" s="34"/>
      <c r="AK444" s="34"/>
      <c r="AL444" s="34"/>
      <c r="AM444" s="34"/>
    </row>
    <row r="445" spans="33:39" s="26" customFormat="1" ht="12.75">
      <c r="AG445" s="34"/>
      <c r="AH445" s="34"/>
      <c r="AI445" s="34"/>
      <c r="AJ445" s="34"/>
      <c r="AK445" s="34"/>
      <c r="AL445" s="34"/>
      <c r="AM445" s="34"/>
    </row>
    <row r="446" spans="33:39" s="26" customFormat="1" ht="12.75">
      <c r="AG446" s="34"/>
      <c r="AH446" s="34"/>
      <c r="AI446" s="34"/>
      <c r="AJ446" s="34"/>
      <c r="AK446" s="34"/>
      <c r="AL446" s="34"/>
      <c r="AM446" s="34"/>
    </row>
    <row r="447" spans="33:39" s="26" customFormat="1" ht="12.75">
      <c r="AG447" s="34"/>
      <c r="AH447" s="34"/>
      <c r="AI447" s="34"/>
      <c r="AJ447" s="34"/>
      <c r="AK447" s="34"/>
      <c r="AL447" s="34"/>
      <c r="AM447" s="34"/>
    </row>
    <row r="448" spans="33:39" s="26" customFormat="1" ht="12.75">
      <c r="AG448" s="34"/>
      <c r="AH448" s="34"/>
      <c r="AI448" s="34"/>
      <c r="AJ448" s="34"/>
      <c r="AK448" s="34"/>
      <c r="AL448" s="34"/>
      <c r="AM448" s="34"/>
    </row>
    <row r="449" spans="33:39" s="26" customFormat="1" ht="12.75">
      <c r="AG449" s="34"/>
      <c r="AH449" s="34"/>
      <c r="AI449" s="34"/>
      <c r="AJ449" s="34"/>
      <c r="AK449" s="34"/>
      <c r="AL449" s="34"/>
      <c r="AM449" s="34"/>
    </row>
    <row r="450" spans="33:39" s="26" customFormat="1" ht="12.75">
      <c r="AG450" s="34"/>
      <c r="AH450" s="34"/>
      <c r="AI450" s="34"/>
      <c r="AJ450" s="34"/>
      <c r="AK450" s="34"/>
      <c r="AL450" s="34"/>
      <c r="AM450" s="34"/>
    </row>
    <row r="451" spans="33:39" s="26" customFormat="1" ht="12.75">
      <c r="AG451" s="34"/>
      <c r="AH451" s="34"/>
      <c r="AI451" s="34"/>
      <c r="AJ451" s="34"/>
      <c r="AK451" s="34"/>
      <c r="AL451" s="34"/>
      <c r="AM451" s="34"/>
    </row>
    <row r="452" spans="33:39" s="26" customFormat="1" ht="12.75">
      <c r="AG452" s="34"/>
      <c r="AH452" s="34"/>
      <c r="AI452" s="34"/>
      <c r="AJ452" s="34"/>
      <c r="AK452" s="34"/>
      <c r="AL452" s="34"/>
      <c r="AM452" s="34"/>
    </row>
    <row r="453" spans="33:39" s="26" customFormat="1" ht="12.75">
      <c r="AG453" s="34"/>
      <c r="AH453" s="34"/>
      <c r="AI453" s="34"/>
      <c r="AJ453" s="34"/>
      <c r="AK453" s="34"/>
      <c r="AL453" s="34"/>
      <c r="AM453" s="34"/>
    </row>
    <row r="454" spans="33:39" s="26" customFormat="1" ht="12.75">
      <c r="AG454" s="34"/>
      <c r="AH454" s="34"/>
      <c r="AI454" s="34"/>
      <c r="AJ454" s="34"/>
      <c r="AK454" s="34"/>
      <c r="AL454" s="34"/>
      <c r="AM454" s="34"/>
    </row>
    <row r="455" spans="33:39" s="26" customFormat="1" ht="12.75">
      <c r="AG455" s="34"/>
      <c r="AH455" s="34"/>
      <c r="AI455" s="34"/>
      <c r="AJ455" s="34"/>
      <c r="AK455" s="34"/>
      <c r="AL455" s="34"/>
      <c r="AM455" s="34"/>
    </row>
    <row r="456" spans="33:39" s="26" customFormat="1" ht="12.75">
      <c r="AG456" s="34"/>
      <c r="AH456" s="34"/>
      <c r="AI456" s="34"/>
      <c r="AJ456" s="34"/>
      <c r="AK456" s="34"/>
      <c r="AL456" s="34"/>
      <c r="AM456" s="34"/>
    </row>
    <row r="457" spans="33:39" s="26" customFormat="1" ht="12.75">
      <c r="AG457" s="34"/>
      <c r="AH457" s="34"/>
      <c r="AI457" s="34"/>
      <c r="AJ457" s="34"/>
      <c r="AK457" s="34"/>
      <c r="AL457" s="34"/>
      <c r="AM457" s="34"/>
    </row>
    <row r="458" spans="33:39" s="26" customFormat="1" ht="12.75">
      <c r="AG458" s="34"/>
      <c r="AH458" s="34"/>
      <c r="AI458" s="34"/>
      <c r="AJ458" s="34"/>
      <c r="AK458" s="34"/>
      <c r="AL458" s="34"/>
      <c r="AM458" s="34"/>
    </row>
    <row r="459" spans="33:39" s="26" customFormat="1" ht="12.75">
      <c r="AG459" s="34"/>
      <c r="AH459" s="34"/>
      <c r="AI459" s="34"/>
      <c r="AJ459" s="34"/>
      <c r="AK459" s="34"/>
      <c r="AL459" s="34"/>
      <c r="AM459" s="34"/>
    </row>
    <row r="460" spans="33:39" s="26" customFormat="1" ht="12.75">
      <c r="AG460" s="34"/>
      <c r="AH460" s="34"/>
      <c r="AI460" s="34"/>
      <c r="AJ460" s="34"/>
      <c r="AK460" s="34"/>
      <c r="AL460" s="34"/>
      <c r="AM460" s="34"/>
    </row>
    <row r="461" spans="33:39" s="26" customFormat="1" ht="12.75">
      <c r="AG461" s="34"/>
      <c r="AH461" s="34"/>
      <c r="AI461" s="34"/>
      <c r="AJ461" s="34"/>
      <c r="AK461" s="34"/>
      <c r="AL461" s="34"/>
      <c r="AM461" s="34"/>
    </row>
    <row r="462" spans="33:39" s="26" customFormat="1" ht="12.75">
      <c r="AG462" s="34"/>
      <c r="AH462" s="34"/>
      <c r="AI462" s="34"/>
      <c r="AJ462" s="34"/>
      <c r="AK462" s="34"/>
      <c r="AL462" s="34"/>
      <c r="AM462" s="34"/>
    </row>
    <row r="463" spans="33:39" s="26" customFormat="1" ht="12.75">
      <c r="AG463" s="34"/>
      <c r="AH463" s="34"/>
      <c r="AI463" s="34"/>
      <c r="AJ463" s="34"/>
      <c r="AK463" s="34"/>
      <c r="AL463" s="34"/>
      <c r="AM463" s="34"/>
    </row>
    <row r="464" spans="33:39" s="26" customFormat="1" ht="12.75">
      <c r="AG464" s="34"/>
      <c r="AH464" s="34"/>
      <c r="AI464" s="34"/>
      <c r="AJ464" s="34"/>
      <c r="AK464" s="34"/>
      <c r="AL464" s="34"/>
      <c r="AM464" s="34"/>
    </row>
    <row r="465" spans="33:39" s="26" customFormat="1" ht="12.75">
      <c r="AG465" s="34"/>
      <c r="AH465" s="34"/>
      <c r="AI465" s="34"/>
      <c r="AJ465" s="34"/>
      <c r="AK465" s="34"/>
      <c r="AL465" s="34"/>
      <c r="AM465" s="34"/>
    </row>
    <row r="466" spans="33:39" s="26" customFormat="1" ht="12.75">
      <c r="AG466" s="34"/>
      <c r="AH466" s="34"/>
      <c r="AI466" s="34"/>
      <c r="AJ466" s="34"/>
      <c r="AK466" s="34"/>
      <c r="AL466" s="34"/>
      <c r="AM466" s="34"/>
    </row>
    <row r="467" spans="33:39" s="26" customFormat="1" ht="12.75">
      <c r="AG467" s="34"/>
      <c r="AH467" s="34"/>
      <c r="AI467" s="34"/>
      <c r="AJ467" s="34"/>
      <c r="AK467" s="34"/>
      <c r="AL467" s="34"/>
      <c r="AM467" s="34"/>
    </row>
    <row r="468" spans="33:39" s="26" customFormat="1" ht="12.75">
      <c r="AG468" s="34"/>
      <c r="AH468" s="34"/>
      <c r="AI468" s="34"/>
      <c r="AJ468" s="34"/>
      <c r="AK468" s="34"/>
      <c r="AL468" s="34"/>
      <c r="AM468" s="34"/>
    </row>
    <row r="469" spans="33:39" s="26" customFormat="1" ht="12.75">
      <c r="AG469" s="34"/>
      <c r="AH469" s="34"/>
      <c r="AI469" s="34"/>
      <c r="AJ469" s="34"/>
      <c r="AK469" s="34"/>
      <c r="AL469" s="34"/>
      <c r="AM469" s="34"/>
    </row>
    <row r="470" spans="33:39" s="26" customFormat="1" ht="12.75">
      <c r="AG470" s="34"/>
      <c r="AH470" s="34"/>
      <c r="AI470" s="34"/>
      <c r="AJ470" s="34"/>
      <c r="AK470" s="34"/>
      <c r="AL470" s="34"/>
      <c r="AM470" s="34"/>
    </row>
    <row r="471" spans="33:39" s="26" customFormat="1" ht="12.75">
      <c r="AG471" s="34"/>
      <c r="AH471" s="34"/>
      <c r="AI471" s="34"/>
      <c r="AJ471" s="34"/>
      <c r="AK471" s="34"/>
      <c r="AL471" s="34"/>
      <c r="AM471" s="34"/>
    </row>
    <row r="472" spans="33:39" s="26" customFormat="1" ht="12.75">
      <c r="AG472" s="34"/>
      <c r="AH472" s="34"/>
      <c r="AI472" s="34"/>
      <c r="AJ472" s="34"/>
      <c r="AK472" s="34"/>
      <c r="AL472" s="34"/>
      <c r="AM472" s="34"/>
    </row>
    <row r="473" spans="33:39" s="26" customFormat="1" ht="12.75">
      <c r="AG473" s="34"/>
      <c r="AH473" s="34"/>
      <c r="AI473" s="34"/>
      <c r="AJ473" s="34"/>
      <c r="AK473" s="34"/>
      <c r="AL473" s="34"/>
      <c r="AM473" s="34"/>
    </row>
    <row r="474" spans="33:39" s="26" customFormat="1" ht="12.75">
      <c r="AG474" s="34"/>
      <c r="AH474" s="34"/>
      <c r="AI474" s="34"/>
      <c r="AJ474" s="34"/>
      <c r="AK474" s="34"/>
      <c r="AL474" s="34"/>
      <c r="AM474" s="34"/>
    </row>
    <row r="475" spans="33:39" s="26" customFormat="1" ht="12.75">
      <c r="AG475" s="34"/>
      <c r="AH475" s="34"/>
      <c r="AI475" s="34"/>
      <c r="AJ475" s="34"/>
      <c r="AK475" s="34"/>
      <c r="AL475" s="34"/>
      <c r="AM475" s="34"/>
    </row>
    <row r="476" spans="33:39" s="26" customFormat="1" ht="12.75">
      <c r="AG476" s="34"/>
      <c r="AH476" s="34"/>
      <c r="AI476" s="34"/>
      <c r="AJ476" s="34"/>
      <c r="AK476" s="34"/>
      <c r="AL476" s="34"/>
      <c r="AM476" s="34"/>
    </row>
    <row r="477" spans="33:39" s="26" customFormat="1" ht="12.75">
      <c r="AG477" s="34"/>
      <c r="AH477" s="34"/>
      <c r="AI477" s="34"/>
      <c r="AJ477" s="34"/>
      <c r="AK477" s="34"/>
      <c r="AL477" s="34"/>
      <c r="AM477" s="34"/>
    </row>
    <row r="478" spans="33:39" s="26" customFormat="1" ht="12.75">
      <c r="AG478" s="34"/>
      <c r="AH478" s="34"/>
      <c r="AI478" s="34"/>
      <c r="AJ478" s="34"/>
      <c r="AK478" s="34"/>
      <c r="AL478" s="34"/>
      <c r="AM478" s="34"/>
    </row>
    <row r="479" spans="33:39" s="26" customFormat="1" ht="12.75">
      <c r="AG479" s="34"/>
      <c r="AH479" s="34"/>
      <c r="AI479" s="34"/>
      <c r="AJ479" s="34"/>
      <c r="AK479" s="34"/>
      <c r="AL479" s="34"/>
      <c r="AM479" s="34"/>
    </row>
    <row r="480" spans="33:39" s="26" customFormat="1" ht="12.75">
      <c r="AG480" s="34"/>
      <c r="AH480" s="34"/>
      <c r="AI480" s="34"/>
      <c r="AJ480" s="34"/>
      <c r="AK480" s="34"/>
      <c r="AL480" s="34"/>
      <c r="AM480" s="34"/>
    </row>
    <row r="481" spans="33:39" s="26" customFormat="1" ht="12.75">
      <c r="AG481" s="34"/>
      <c r="AH481" s="34"/>
      <c r="AI481" s="34"/>
      <c r="AJ481" s="34"/>
      <c r="AK481" s="34"/>
      <c r="AL481" s="34"/>
      <c r="AM481" s="34"/>
    </row>
    <row r="482" spans="33:39" s="26" customFormat="1" ht="12.75">
      <c r="AG482" s="34"/>
      <c r="AH482" s="34"/>
      <c r="AI482" s="34"/>
      <c r="AJ482" s="34"/>
      <c r="AK482" s="34"/>
      <c r="AL482" s="34"/>
      <c r="AM482" s="34"/>
    </row>
    <row r="483" spans="33:39" s="26" customFormat="1" ht="12.75">
      <c r="AG483" s="34"/>
      <c r="AH483" s="34"/>
      <c r="AI483" s="34"/>
      <c r="AJ483" s="34"/>
      <c r="AK483" s="34"/>
      <c r="AL483" s="34"/>
      <c r="AM483" s="34"/>
    </row>
    <row r="484" spans="33:39" s="26" customFormat="1" ht="12.75">
      <c r="AG484" s="34"/>
      <c r="AH484" s="34"/>
      <c r="AI484" s="34"/>
      <c r="AJ484" s="34"/>
      <c r="AK484" s="34"/>
      <c r="AL484" s="34"/>
      <c r="AM484" s="34"/>
    </row>
    <row r="485" spans="33:39" s="26" customFormat="1" ht="12.75">
      <c r="AG485" s="34"/>
      <c r="AH485" s="34"/>
      <c r="AI485" s="34"/>
      <c r="AJ485" s="34"/>
      <c r="AK485" s="34"/>
      <c r="AL485" s="34"/>
      <c r="AM485" s="34"/>
    </row>
    <row r="486" spans="33:39" s="26" customFormat="1" ht="12.75">
      <c r="AG486" s="34"/>
      <c r="AH486" s="34"/>
      <c r="AI486" s="34"/>
      <c r="AJ486" s="34"/>
      <c r="AK486" s="34"/>
      <c r="AL486" s="34"/>
      <c r="AM486" s="34"/>
    </row>
    <row r="487" spans="33:39" s="26" customFormat="1" ht="12.75">
      <c r="AG487" s="34"/>
      <c r="AH487" s="34"/>
      <c r="AI487" s="34"/>
      <c r="AJ487" s="34"/>
      <c r="AK487" s="34"/>
      <c r="AL487" s="34"/>
      <c r="AM487" s="34"/>
    </row>
    <row r="488" spans="33:39" s="26" customFormat="1" ht="12.75">
      <c r="AG488" s="34"/>
      <c r="AH488" s="34"/>
      <c r="AI488" s="34"/>
      <c r="AJ488" s="34"/>
      <c r="AK488" s="34"/>
      <c r="AL488" s="34"/>
      <c r="AM488" s="34"/>
    </row>
    <row r="489" spans="33:39" s="26" customFormat="1" ht="12.75">
      <c r="AG489" s="34"/>
      <c r="AH489" s="34"/>
      <c r="AI489" s="34"/>
      <c r="AJ489" s="34"/>
      <c r="AK489" s="34"/>
      <c r="AL489" s="34"/>
      <c r="AM489" s="34"/>
    </row>
    <row r="490" spans="33:39" s="26" customFormat="1" ht="12.75">
      <c r="AG490" s="34"/>
      <c r="AH490" s="34"/>
      <c r="AI490" s="34"/>
      <c r="AJ490" s="34"/>
      <c r="AK490" s="34"/>
      <c r="AL490" s="34"/>
      <c r="AM490" s="34"/>
    </row>
    <row r="491" spans="33:39" s="26" customFormat="1" ht="12.75">
      <c r="AG491" s="34"/>
      <c r="AH491" s="34"/>
      <c r="AI491" s="34"/>
      <c r="AJ491" s="34"/>
      <c r="AK491" s="34"/>
      <c r="AL491" s="34"/>
      <c r="AM491" s="34"/>
    </row>
    <row r="492" spans="33:39" s="26" customFormat="1" ht="12.75">
      <c r="AG492" s="34"/>
      <c r="AH492" s="34"/>
      <c r="AI492" s="34"/>
      <c r="AJ492" s="34"/>
      <c r="AK492" s="34"/>
      <c r="AL492" s="34"/>
      <c r="AM492" s="34"/>
    </row>
    <row r="493" spans="33:39" s="26" customFormat="1" ht="12.75">
      <c r="AG493" s="34"/>
      <c r="AH493" s="34"/>
      <c r="AI493" s="34"/>
      <c r="AJ493" s="34"/>
      <c r="AK493" s="34"/>
      <c r="AL493" s="34"/>
      <c r="AM493" s="34"/>
    </row>
    <row r="494" spans="33:39" s="26" customFormat="1" ht="12.75">
      <c r="AG494" s="34"/>
      <c r="AH494" s="34"/>
      <c r="AI494" s="34"/>
      <c r="AJ494" s="34"/>
      <c r="AK494" s="34"/>
      <c r="AL494" s="34"/>
      <c r="AM494" s="34"/>
    </row>
    <row r="495" spans="33:39" s="26" customFormat="1" ht="12.75">
      <c r="AG495" s="34"/>
      <c r="AH495" s="34"/>
      <c r="AI495" s="34"/>
      <c r="AJ495" s="34"/>
      <c r="AK495" s="34"/>
      <c r="AL495" s="34"/>
      <c r="AM495" s="34"/>
    </row>
    <row r="496" spans="33:39" s="26" customFormat="1" ht="12.75">
      <c r="AG496" s="34"/>
      <c r="AH496" s="34"/>
      <c r="AI496" s="34"/>
      <c r="AJ496" s="34"/>
      <c r="AK496" s="34"/>
      <c r="AL496" s="34"/>
      <c r="AM496" s="34"/>
    </row>
    <row r="497" spans="33:39" s="26" customFormat="1" ht="12.75">
      <c r="AG497" s="34"/>
      <c r="AH497" s="34"/>
      <c r="AI497" s="34"/>
      <c r="AJ497" s="34"/>
      <c r="AK497" s="34"/>
      <c r="AL497" s="34"/>
      <c r="AM497" s="34"/>
    </row>
    <row r="498" spans="33:39" s="26" customFormat="1" ht="12.75">
      <c r="AG498" s="34"/>
      <c r="AH498" s="34"/>
      <c r="AI498" s="34"/>
      <c r="AJ498" s="34"/>
      <c r="AK498" s="34"/>
      <c r="AL498" s="34"/>
      <c r="AM498" s="34"/>
    </row>
    <row r="499" spans="33:39" s="26" customFormat="1" ht="12.75">
      <c r="AG499" s="34"/>
      <c r="AH499" s="34"/>
      <c r="AI499" s="34"/>
      <c r="AJ499" s="34"/>
      <c r="AK499" s="34"/>
      <c r="AL499" s="34"/>
      <c r="AM499" s="34"/>
    </row>
    <row r="500" spans="33:39" s="26" customFormat="1" ht="12.75">
      <c r="AG500" s="34"/>
      <c r="AH500" s="34"/>
      <c r="AI500" s="34"/>
      <c r="AJ500" s="34"/>
      <c r="AK500" s="34"/>
      <c r="AL500" s="34"/>
      <c r="AM500" s="34"/>
    </row>
    <row r="501" spans="33:39" s="26" customFormat="1" ht="12.75">
      <c r="AG501" s="34"/>
      <c r="AH501" s="34"/>
      <c r="AI501" s="34"/>
      <c r="AJ501" s="34"/>
      <c r="AK501" s="34"/>
      <c r="AL501" s="34"/>
      <c r="AM501" s="34"/>
    </row>
    <row r="502" spans="33:39" s="26" customFormat="1" ht="12.75">
      <c r="AG502" s="34"/>
      <c r="AH502" s="34"/>
      <c r="AI502" s="34"/>
      <c r="AJ502" s="34"/>
      <c r="AK502" s="34"/>
      <c r="AL502" s="34"/>
      <c r="AM502" s="34"/>
    </row>
    <row r="503" spans="33:39" s="26" customFormat="1" ht="12.75">
      <c r="AG503" s="34"/>
      <c r="AH503" s="34"/>
      <c r="AI503" s="34"/>
      <c r="AJ503" s="34"/>
      <c r="AK503" s="34"/>
      <c r="AL503" s="34"/>
      <c r="AM503" s="34"/>
    </row>
    <row r="504" spans="33:39" s="26" customFormat="1" ht="12.75">
      <c r="AG504" s="34"/>
      <c r="AH504" s="34"/>
      <c r="AI504" s="34"/>
      <c r="AJ504" s="34"/>
      <c r="AK504" s="34"/>
      <c r="AL504" s="34"/>
      <c r="AM504" s="34"/>
    </row>
    <row r="505" spans="33:39" s="26" customFormat="1" ht="12.75">
      <c r="AG505" s="34"/>
      <c r="AH505" s="34"/>
      <c r="AI505" s="34"/>
      <c r="AJ505" s="34"/>
      <c r="AK505" s="34"/>
      <c r="AL505" s="34"/>
      <c r="AM505" s="34"/>
    </row>
    <row r="506" spans="33:39" s="26" customFormat="1" ht="12.75">
      <c r="AG506" s="34"/>
      <c r="AH506" s="34"/>
      <c r="AI506" s="34"/>
      <c r="AJ506" s="34"/>
      <c r="AK506" s="34"/>
      <c r="AL506" s="34"/>
      <c r="AM506" s="34"/>
    </row>
    <row r="507" spans="33:39" s="26" customFormat="1" ht="12.75">
      <c r="AG507" s="34"/>
      <c r="AH507" s="34"/>
      <c r="AI507" s="34"/>
      <c r="AJ507" s="34"/>
      <c r="AK507" s="34"/>
      <c r="AL507" s="34"/>
      <c r="AM507" s="34"/>
    </row>
    <row r="508" spans="33:39" s="26" customFormat="1" ht="12.75">
      <c r="AG508" s="34"/>
      <c r="AH508" s="34"/>
      <c r="AI508" s="34"/>
      <c r="AJ508" s="34"/>
      <c r="AK508" s="34"/>
      <c r="AL508" s="34"/>
      <c r="AM508" s="34"/>
    </row>
    <row r="509" spans="33:39" s="26" customFormat="1" ht="12.75">
      <c r="AG509" s="34"/>
      <c r="AH509" s="34"/>
      <c r="AI509" s="34"/>
      <c r="AJ509" s="34"/>
      <c r="AK509" s="34"/>
      <c r="AL509" s="34"/>
      <c r="AM509" s="34"/>
    </row>
    <row r="510" spans="33:39" s="26" customFormat="1" ht="12.75">
      <c r="AG510" s="34"/>
      <c r="AH510" s="34"/>
      <c r="AI510" s="34"/>
      <c r="AJ510" s="34"/>
      <c r="AK510" s="34"/>
      <c r="AL510" s="34"/>
      <c r="AM510" s="34"/>
    </row>
    <row r="511" spans="33:39" s="26" customFormat="1" ht="12.75">
      <c r="AG511" s="34"/>
      <c r="AH511" s="34"/>
      <c r="AI511" s="34"/>
      <c r="AJ511" s="34"/>
      <c r="AK511" s="34"/>
      <c r="AL511" s="34"/>
      <c r="AM511" s="34"/>
    </row>
    <row r="512" spans="33:39" s="26" customFormat="1" ht="12.75">
      <c r="AG512" s="34"/>
      <c r="AH512" s="34"/>
      <c r="AI512" s="34"/>
      <c r="AJ512" s="34"/>
      <c r="AK512" s="34"/>
      <c r="AL512" s="34"/>
      <c r="AM512" s="34"/>
    </row>
    <row r="513" spans="33:39" s="26" customFormat="1" ht="12.75">
      <c r="AG513" s="34"/>
      <c r="AH513" s="34"/>
      <c r="AI513" s="34"/>
      <c r="AJ513" s="34"/>
      <c r="AK513" s="34"/>
      <c r="AL513" s="34"/>
      <c r="AM513" s="34"/>
    </row>
    <row r="514" spans="33:39" s="26" customFormat="1" ht="12.75">
      <c r="AG514" s="34"/>
      <c r="AH514" s="34"/>
      <c r="AI514" s="34"/>
      <c r="AJ514" s="34"/>
      <c r="AK514" s="34"/>
      <c r="AL514" s="34"/>
      <c r="AM514" s="34"/>
    </row>
    <row r="515" spans="33:39" s="26" customFormat="1" ht="12.75">
      <c r="AG515" s="34"/>
      <c r="AH515" s="34"/>
      <c r="AI515" s="34"/>
      <c r="AJ515" s="34"/>
      <c r="AK515" s="34"/>
      <c r="AL515" s="34"/>
      <c r="AM515" s="34"/>
    </row>
    <row r="516" spans="33:39" s="26" customFormat="1" ht="12.75">
      <c r="AG516" s="34"/>
      <c r="AH516" s="34"/>
      <c r="AI516" s="34"/>
      <c r="AJ516" s="34"/>
      <c r="AK516" s="34"/>
      <c r="AL516" s="34"/>
      <c r="AM516" s="34"/>
    </row>
    <row r="517" spans="33:39" s="26" customFormat="1" ht="12.75">
      <c r="AG517" s="34"/>
      <c r="AH517" s="34"/>
      <c r="AI517" s="34"/>
      <c r="AJ517" s="34"/>
      <c r="AK517" s="34"/>
      <c r="AL517" s="34"/>
      <c r="AM517" s="34"/>
    </row>
    <row r="518" spans="33:39" s="26" customFormat="1" ht="12.75">
      <c r="AG518" s="34"/>
      <c r="AH518" s="34"/>
      <c r="AI518" s="34"/>
      <c r="AJ518" s="34"/>
      <c r="AK518" s="34"/>
      <c r="AL518" s="34"/>
      <c r="AM518" s="34"/>
    </row>
    <row r="519" spans="33:39" s="26" customFormat="1" ht="12.75">
      <c r="AG519" s="34"/>
      <c r="AH519" s="34"/>
      <c r="AI519" s="34"/>
      <c r="AJ519" s="34"/>
      <c r="AK519" s="34"/>
      <c r="AL519" s="34"/>
      <c r="AM519" s="34"/>
    </row>
    <row r="520" spans="33:39" s="26" customFormat="1" ht="12.75">
      <c r="AG520" s="34"/>
      <c r="AH520" s="34"/>
      <c r="AI520" s="34"/>
      <c r="AJ520" s="34"/>
      <c r="AK520" s="34"/>
      <c r="AL520" s="34"/>
      <c r="AM520" s="34"/>
    </row>
    <row r="521" spans="33:39" s="26" customFormat="1" ht="12.75">
      <c r="AG521" s="34"/>
      <c r="AH521" s="34"/>
      <c r="AI521" s="34"/>
      <c r="AJ521" s="34"/>
      <c r="AK521" s="34"/>
      <c r="AL521" s="34"/>
      <c r="AM521" s="34"/>
    </row>
    <row r="522" spans="33:39" s="26" customFormat="1" ht="12.75">
      <c r="AG522" s="34"/>
      <c r="AH522" s="34"/>
      <c r="AI522" s="34"/>
      <c r="AJ522" s="34"/>
      <c r="AK522" s="34"/>
      <c r="AL522" s="34"/>
      <c r="AM522" s="34"/>
    </row>
    <row r="523" spans="33:39" s="26" customFormat="1" ht="12.75">
      <c r="AG523" s="34"/>
      <c r="AH523" s="34"/>
      <c r="AI523" s="34"/>
      <c r="AJ523" s="34"/>
      <c r="AK523" s="34"/>
      <c r="AL523" s="34"/>
      <c r="AM523" s="34"/>
    </row>
    <row r="524" spans="33:39" s="26" customFormat="1" ht="12.75">
      <c r="AG524" s="34"/>
      <c r="AH524" s="34"/>
      <c r="AI524" s="34"/>
      <c r="AJ524" s="34"/>
      <c r="AK524" s="34"/>
      <c r="AL524" s="34"/>
      <c r="AM524" s="34"/>
    </row>
    <row r="525" spans="33:39" s="26" customFormat="1" ht="12.75">
      <c r="AG525" s="34"/>
      <c r="AH525" s="34"/>
      <c r="AI525" s="34"/>
      <c r="AJ525" s="34"/>
      <c r="AK525" s="34"/>
      <c r="AL525" s="34"/>
      <c r="AM525" s="34"/>
    </row>
    <row r="526" spans="33:39" s="26" customFormat="1" ht="12.75">
      <c r="AG526" s="34"/>
      <c r="AH526" s="34"/>
      <c r="AI526" s="34"/>
      <c r="AJ526" s="34"/>
      <c r="AK526" s="34"/>
      <c r="AL526" s="34"/>
      <c r="AM526" s="34"/>
    </row>
    <row r="527" spans="33:39" s="26" customFormat="1" ht="12.75">
      <c r="AG527" s="34"/>
      <c r="AH527" s="34"/>
      <c r="AI527" s="34"/>
      <c r="AJ527" s="34"/>
      <c r="AK527" s="34"/>
      <c r="AL527" s="34"/>
      <c r="AM527" s="34"/>
    </row>
    <row r="528" spans="33:39" s="26" customFormat="1" ht="12.75">
      <c r="AG528" s="34"/>
      <c r="AH528" s="34"/>
      <c r="AI528" s="34"/>
      <c r="AJ528" s="34"/>
      <c r="AK528" s="34"/>
      <c r="AL528" s="34"/>
      <c r="AM528" s="34"/>
    </row>
    <row r="529" spans="33:39" s="26" customFormat="1" ht="12.75">
      <c r="AG529" s="34"/>
      <c r="AH529" s="34"/>
      <c r="AI529" s="34"/>
      <c r="AJ529" s="34"/>
      <c r="AK529" s="34"/>
      <c r="AL529" s="34"/>
      <c r="AM529" s="34"/>
    </row>
    <row r="530" spans="33:39" s="26" customFormat="1" ht="12.75">
      <c r="AG530" s="34"/>
      <c r="AH530" s="34"/>
      <c r="AI530" s="34"/>
      <c r="AJ530" s="34"/>
      <c r="AK530" s="34"/>
      <c r="AL530" s="34"/>
      <c r="AM530" s="34"/>
    </row>
    <row r="531" spans="33:39" s="26" customFormat="1" ht="12.75">
      <c r="AG531" s="34"/>
      <c r="AH531" s="34"/>
      <c r="AI531" s="34"/>
      <c r="AJ531" s="34"/>
      <c r="AK531" s="34"/>
      <c r="AL531" s="34"/>
      <c r="AM531" s="34"/>
    </row>
    <row r="532" spans="33:39" s="26" customFormat="1" ht="12.75">
      <c r="AG532" s="34"/>
      <c r="AH532" s="34"/>
      <c r="AI532" s="34"/>
      <c r="AJ532" s="34"/>
      <c r="AK532" s="34"/>
      <c r="AL532" s="34"/>
      <c r="AM532" s="34"/>
    </row>
    <row r="533" spans="33:39" s="26" customFormat="1" ht="12.75">
      <c r="AG533" s="34"/>
      <c r="AH533" s="34"/>
      <c r="AI533" s="34"/>
      <c r="AJ533" s="34"/>
      <c r="AK533" s="34"/>
      <c r="AL533" s="34"/>
      <c r="AM533" s="34"/>
    </row>
    <row r="534" spans="33:39" s="26" customFormat="1" ht="12.75">
      <c r="AG534" s="34"/>
      <c r="AH534" s="34"/>
      <c r="AI534" s="34"/>
      <c r="AJ534" s="34"/>
      <c r="AK534" s="34"/>
      <c r="AL534" s="34"/>
      <c r="AM534" s="34"/>
    </row>
    <row r="535" spans="33:39" s="26" customFormat="1" ht="12.75">
      <c r="AG535" s="34"/>
      <c r="AH535" s="34"/>
      <c r="AI535" s="34"/>
      <c r="AJ535" s="34"/>
      <c r="AK535" s="34"/>
      <c r="AL535" s="34"/>
      <c r="AM535" s="34"/>
    </row>
    <row r="536" spans="33:39" s="26" customFormat="1" ht="12.75">
      <c r="AG536" s="34"/>
      <c r="AH536" s="34"/>
      <c r="AI536" s="34"/>
      <c r="AJ536" s="34"/>
      <c r="AK536" s="34"/>
      <c r="AL536" s="34"/>
      <c r="AM536" s="34"/>
    </row>
    <row r="537" spans="33:39" s="26" customFormat="1" ht="12.75">
      <c r="AG537" s="34"/>
      <c r="AH537" s="34"/>
      <c r="AI537" s="34"/>
      <c r="AJ537" s="34"/>
      <c r="AK537" s="34"/>
      <c r="AL537" s="34"/>
      <c r="AM537" s="34"/>
    </row>
    <row r="538" spans="33:39" s="26" customFormat="1" ht="12.75">
      <c r="AG538" s="34"/>
      <c r="AH538" s="34"/>
      <c r="AI538" s="34"/>
      <c r="AJ538" s="34"/>
      <c r="AK538" s="34"/>
      <c r="AL538" s="34"/>
      <c r="AM538" s="34"/>
    </row>
    <row r="539" spans="33:39" s="26" customFormat="1" ht="12.75">
      <c r="AG539" s="34"/>
      <c r="AH539" s="34"/>
      <c r="AI539" s="34"/>
      <c r="AJ539" s="34"/>
      <c r="AK539" s="34"/>
      <c r="AL539" s="34"/>
      <c r="AM539" s="34"/>
    </row>
    <row r="540" spans="33:39" s="26" customFormat="1" ht="12.75">
      <c r="AG540" s="34"/>
      <c r="AH540" s="34"/>
      <c r="AI540" s="34"/>
      <c r="AJ540" s="34"/>
      <c r="AK540" s="34"/>
      <c r="AL540" s="34"/>
      <c r="AM540" s="34"/>
    </row>
    <row r="541" spans="33:39" s="26" customFormat="1" ht="12.75">
      <c r="AG541" s="34"/>
      <c r="AH541" s="34"/>
      <c r="AI541" s="34"/>
      <c r="AJ541" s="34"/>
      <c r="AK541" s="34"/>
      <c r="AL541" s="34"/>
      <c r="AM541" s="34"/>
    </row>
    <row r="542" spans="33:39" s="26" customFormat="1" ht="12.75">
      <c r="AG542" s="34"/>
      <c r="AH542" s="34"/>
      <c r="AI542" s="34"/>
      <c r="AJ542" s="34"/>
      <c r="AK542" s="34"/>
      <c r="AL542" s="34"/>
      <c r="AM542" s="34"/>
    </row>
    <row r="543" spans="33:39" s="26" customFormat="1" ht="12.75">
      <c r="AG543" s="34"/>
      <c r="AH543" s="34"/>
      <c r="AI543" s="34"/>
      <c r="AJ543" s="34"/>
      <c r="AK543" s="34"/>
      <c r="AL543" s="34"/>
      <c r="AM543" s="34"/>
    </row>
    <row r="544" spans="33:39" s="26" customFormat="1" ht="12.75">
      <c r="AG544" s="34"/>
      <c r="AH544" s="34"/>
      <c r="AI544" s="34"/>
      <c r="AJ544" s="34"/>
      <c r="AK544" s="34"/>
      <c r="AL544" s="34"/>
      <c r="AM544" s="34"/>
    </row>
    <row r="545" spans="33:39" s="26" customFormat="1" ht="12.75">
      <c r="AG545" s="34"/>
      <c r="AH545" s="34"/>
      <c r="AI545" s="34"/>
      <c r="AJ545" s="34"/>
      <c r="AK545" s="34"/>
      <c r="AL545" s="34"/>
      <c r="AM545" s="34"/>
    </row>
    <row r="546" spans="33:39" s="26" customFormat="1" ht="12.75">
      <c r="AG546" s="34"/>
      <c r="AH546" s="34"/>
      <c r="AI546" s="34"/>
      <c r="AJ546" s="34"/>
      <c r="AK546" s="34"/>
      <c r="AL546" s="34"/>
      <c r="AM546" s="34"/>
    </row>
    <row r="547" spans="33:39" s="26" customFormat="1" ht="12.75">
      <c r="AG547" s="34"/>
      <c r="AH547" s="34"/>
      <c r="AI547" s="34"/>
      <c r="AJ547" s="34"/>
      <c r="AK547" s="34"/>
      <c r="AL547" s="34"/>
      <c r="AM547" s="34"/>
    </row>
    <row r="548" spans="33:39" s="26" customFormat="1" ht="12.75">
      <c r="AG548" s="34"/>
      <c r="AH548" s="34"/>
      <c r="AI548" s="34"/>
      <c r="AJ548" s="34"/>
      <c r="AK548" s="34"/>
      <c r="AL548" s="34"/>
      <c r="AM548" s="34"/>
    </row>
    <row r="549" spans="33:39" s="26" customFormat="1" ht="12.75">
      <c r="AG549" s="34"/>
      <c r="AH549" s="34"/>
      <c r="AI549" s="34"/>
      <c r="AJ549" s="34"/>
      <c r="AK549" s="34"/>
      <c r="AL549" s="34"/>
      <c r="AM549" s="34"/>
    </row>
    <row r="550" spans="33:39" s="26" customFormat="1" ht="12.75">
      <c r="AG550" s="34"/>
      <c r="AH550" s="34"/>
      <c r="AI550" s="34"/>
      <c r="AJ550" s="34"/>
      <c r="AK550" s="34"/>
      <c r="AL550" s="34"/>
      <c r="AM550" s="34"/>
    </row>
    <row r="551" spans="33:39" s="26" customFormat="1" ht="12.75">
      <c r="AG551" s="34"/>
      <c r="AH551" s="34"/>
      <c r="AI551" s="34"/>
      <c r="AJ551" s="34"/>
      <c r="AK551" s="34"/>
      <c r="AL551" s="34"/>
      <c r="AM551" s="34"/>
    </row>
    <row r="552" spans="33:39" s="26" customFormat="1" ht="12.75">
      <c r="AG552" s="34"/>
      <c r="AH552" s="34"/>
      <c r="AI552" s="34"/>
      <c r="AJ552" s="34"/>
      <c r="AK552" s="34"/>
      <c r="AL552" s="34"/>
      <c r="AM552" s="34"/>
    </row>
    <row r="553" spans="33:39" s="26" customFormat="1" ht="12.75">
      <c r="AG553" s="34"/>
      <c r="AH553" s="34"/>
      <c r="AI553" s="34"/>
      <c r="AJ553" s="34"/>
      <c r="AK553" s="34"/>
      <c r="AL553" s="34"/>
      <c r="AM553" s="34"/>
    </row>
    <row r="554" spans="33:39" s="26" customFormat="1" ht="12.75">
      <c r="AG554" s="34"/>
      <c r="AH554" s="34"/>
      <c r="AI554" s="34"/>
      <c r="AJ554" s="34"/>
      <c r="AK554" s="34"/>
      <c r="AL554" s="34"/>
      <c r="AM554" s="34"/>
    </row>
    <row r="555" spans="33:39" s="26" customFormat="1" ht="12.75">
      <c r="AG555" s="34"/>
      <c r="AH555" s="34"/>
      <c r="AI555" s="34"/>
      <c r="AJ555" s="34"/>
      <c r="AK555" s="34"/>
      <c r="AL555" s="34"/>
      <c r="AM555" s="34"/>
    </row>
    <row r="556" spans="33:39" s="26" customFormat="1" ht="12.75">
      <c r="AG556" s="34"/>
      <c r="AH556" s="34"/>
      <c r="AI556" s="34"/>
      <c r="AJ556" s="34"/>
      <c r="AK556" s="34"/>
      <c r="AL556" s="34"/>
      <c r="AM556" s="34"/>
    </row>
    <row r="557" spans="33:39" s="26" customFormat="1" ht="12.75">
      <c r="AG557" s="34"/>
      <c r="AH557" s="34"/>
      <c r="AI557" s="34"/>
      <c r="AJ557" s="34"/>
      <c r="AK557" s="34"/>
      <c r="AL557" s="34"/>
      <c r="AM557" s="34"/>
    </row>
    <row r="558" spans="33:39" s="26" customFormat="1" ht="12.75">
      <c r="AG558" s="34"/>
      <c r="AH558" s="34"/>
      <c r="AI558" s="34"/>
      <c r="AJ558" s="34"/>
      <c r="AK558" s="34"/>
      <c r="AL558" s="34"/>
      <c r="AM558" s="34"/>
    </row>
    <row r="559" spans="33:39" s="26" customFormat="1" ht="12.75">
      <c r="AG559" s="34"/>
      <c r="AH559" s="34"/>
      <c r="AI559" s="34"/>
      <c r="AJ559" s="34"/>
      <c r="AK559" s="34"/>
      <c r="AL559" s="34"/>
      <c r="AM559" s="34"/>
    </row>
    <row r="560" spans="33:39" s="26" customFormat="1" ht="12.75">
      <c r="AG560" s="34"/>
      <c r="AH560" s="34"/>
      <c r="AI560" s="34"/>
      <c r="AJ560" s="34"/>
      <c r="AK560" s="34"/>
      <c r="AL560" s="34"/>
      <c r="AM560" s="34"/>
    </row>
    <row r="561" spans="33:39" s="26" customFormat="1" ht="12.75">
      <c r="AG561" s="34"/>
      <c r="AH561" s="34"/>
      <c r="AI561" s="34"/>
      <c r="AJ561" s="34"/>
      <c r="AK561" s="34"/>
      <c r="AL561" s="34"/>
      <c r="AM561" s="34"/>
    </row>
    <row r="562" spans="33:39" s="26" customFormat="1" ht="12.75">
      <c r="AG562" s="34"/>
      <c r="AH562" s="34"/>
      <c r="AI562" s="34"/>
      <c r="AJ562" s="34"/>
      <c r="AK562" s="34"/>
      <c r="AL562" s="34"/>
      <c r="AM562" s="34"/>
    </row>
    <row r="563" spans="33:39" s="26" customFormat="1" ht="12.75">
      <c r="AG563" s="34"/>
      <c r="AH563" s="34"/>
      <c r="AI563" s="34"/>
      <c r="AJ563" s="34"/>
      <c r="AK563" s="34"/>
      <c r="AL563" s="34"/>
      <c r="AM563" s="34"/>
    </row>
    <row r="564" spans="33:39" s="26" customFormat="1" ht="12.75">
      <c r="AG564" s="34"/>
      <c r="AH564" s="34"/>
      <c r="AI564" s="34"/>
      <c r="AJ564" s="34"/>
      <c r="AK564" s="34"/>
      <c r="AL564" s="34"/>
      <c r="AM564" s="34"/>
    </row>
    <row r="565" spans="33:39" s="26" customFormat="1" ht="12.75">
      <c r="AG565" s="34"/>
      <c r="AH565" s="34"/>
      <c r="AI565" s="34"/>
      <c r="AJ565" s="34"/>
      <c r="AK565" s="34"/>
      <c r="AL565" s="34"/>
      <c r="AM565" s="34"/>
    </row>
    <row r="566" spans="33:39" s="26" customFormat="1" ht="12.75">
      <c r="AG566" s="34"/>
      <c r="AH566" s="34"/>
      <c r="AI566" s="34"/>
      <c r="AJ566" s="34"/>
      <c r="AK566" s="34"/>
      <c r="AL566" s="34"/>
      <c r="AM566" s="34"/>
    </row>
    <row r="567" spans="33:39" s="26" customFormat="1" ht="12.75">
      <c r="AG567" s="34"/>
      <c r="AH567" s="34"/>
      <c r="AI567" s="34"/>
      <c r="AJ567" s="34"/>
      <c r="AK567" s="34"/>
      <c r="AL567" s="34"/>
      <c r="AM567" s="34"/>
    </row>
    <row r="568" spans="33:39" s="26" customFormat="1" ht="12.75">
      <c r="AG568" s="34"/>
      <c r="AH568" s="34"/>
      <c r="AI568" s="34"/>
      <c r="AJ568" s="34"/>
      <c r="AK568" s="34"/>
      <c r="AL568" s="34"/>
      <c r="AM568" s="34"/>
    </row>
    <row r="569" spans="33:39" s="26" customFormat="1" ht="12.75">
      <c r="AG569" s="34"/>
      <c r="AH569" s="34"/>
      <c r="AI569" s="34"/>
      <c r="AJ569" s="34"/>
      <c r="AK569" s="34"/>
      <c r="AL569" s="34"/>
      <c r="AM569" s="34"/>
    </row>
    <row r="570" spans="33:39" s="26" customFormat="1" ht="12.75">
      <c r="AG570" s="34"/>
      <c r="AH570" s="34"/>
      <c r="AI570" s="34"/>
      <c r="AJ570" s="34"/>
      <c r="AK570" s="34"/>
      <c r="AL570" s="34"/>
      <c r="AM570" s="34"/>
    </row>
    <row r="571" spans="33:39" s="26" customFormat="1" ht="12.75">
      <c r="AG571" s="34"/>
      <c r="AH571" s="34"/>
      <c r="AI571" s="34"/>
      <c r="AJ571" s="34"/>
      <c r="AK571" s="34"/>
      <c r="AL571" s="34"/>
      <c r="AM571" s="34"/>
    </row>
    <row r="572" spans="33:39" s="26" customFormat="1" ht="12.75">
      <c r="AG572" s="34"/>
      <c r="AH572" s="34"/>
      <c r="AI572" s="34"/>
      <c r="AJ572" s="34"/>
      <c r="AK572" s="34"/>
      <c r="AL572" s="34"/>
      <c r="AM572" s="34"/>
    </row>
    <row r="573" spans="33:39" s="26" customFormat="1" ht="12.75">
      <c r="AG573" s="34"/>
      <c r="AH573" s="34"/>
      <c r="AI573" s="34"/>
      <c r="AJ573" s="34"/>
      <c r="AK573" s="34"/>
      <c r="AL573" s="34"/>
      <c r="AM573" s="34"/>
    </row>
    <row r="574" spans="33:39" s="26" customFormat="1" ht="12.75">
      <c r="AG574" s="34"/>
      <c r="AH574" s="34"/>
      <c r="AI574" s="34"/>
      <c r="AJ574" s="34"/>
      <c r="AK574" s="34"/>
      <c r="AL574" s="34"/>
      <c r="AM574" s="34"/>
    </row>
    <row r="575" spans="33:39" s="26" customFormat="1" ht="12.75">
      <c r="AG575" s="34"/>
      <c r="AH575" s="34"/>
      <c r="AI575" s="34"/>
      <c r="AJ575" s="34"/>
      <c r="AK575" s="34"/>
      <c r="AL575" s="34"/>
      <c r="AM575" s="34"/>
    </row>
    <row r="576" spans="33:39" s="26" customFormat="1" ht="12.75">
      <c r="AG576" s="34"/>
      <c r="AH576" s="34"/>
      <c r="AI576" s="34"/>
      <c r="AJ576" s="34"/>
      <c r="AK576" s="34"/>
      <c r="AL576" s="34"/>
      <c r="AM576" s="34"/>
    </row>
    <row r="577" spans="33:39" s="26" customFormat="1" ht="12.75">
      <c r="AG577" s="34"/>
      <c r="AH577" s="34"/>
      <c r="AI577" s="34"/>
      <c r="AJ577" s="34"/>
      <c r="AK577" s="34"/>
      <c r="AL577" s="34"/>
      <c r="AM577" s="34"/>
    </row>
    <row r="578" spans="33:39" s="26" customFormat="1" ht="12.75">
      <c r="AG578" s="34"/>
      <c r="AH578" s="34"/>
      <c r="AI578" s="34"/>
      <c r="AJ578" s="34"/>
      <c r="AK578" s="34"/>
      <c r="AL578" s="34"/>
      <c r="AM578" s="34"/>
    </row>
    <row r="579" spans="33:39" s="26" customFormat="1" ht="12.75">
      <c r="AG579" s="34"/>
      <c r="AH579" s="34"/>
      <c r="AI579" s="34"/>
      <c r="AJ579" s="34"/>
      <c r="AK579" s="34"/>
      <c r="AL579" s="34"/>
      <c r="AM579" s="34"/>
    </row>
    <row r="580" spans="33:39" s="26" customFormat="1" ht="12.75">
      <c r="AG580" s="34"/>
      <c r="AH580" s="34"/>
      <c r="AI580" s="34"/>
      <c r="AJ580" s="34"/>
      <c r="AK580" s="34"/>
      <c r="AL580" s="34"/>
      <c r="AM580" s="34"/>
    </row>
    <row r="581" spans="33:39" s="26" customFormat="1" ht="12.75">
      <c r="AG581" s="34"/>
      <c r="AH581" s="34"/>
      <c r="AI581" s="34"/>
      <c r="AJ581" s="34"/>
      <c r="AK581" s="34"/>
      <c r="AL581" s="34"/>
      <c r="AM581" s="34"/>
    </row>
    <row r="582" spans="33:39" s="26" customFormat="1" ht="12.75">
      <c r="AG582" s="34"/>
      <c r="AH582" s="34"/>
      <c r="AI582" s="34"/>
      <c r="AJ582" s="34"/>
      <c r="AK582" s="34"/>
      <c r="AL582" s="34"/>
      <c r="AM582" s="34"/>
    </row>
    <row r="583" spans="33:39" s="26" customFormat="1" ht="12.75">
      <c r="AG583" s="34"/>
      <c r="AH583" s="34"/>
      <c r="AI583" s="34"/>
      <c r="AJ583" s="34"/>
      <c r="AK583" s="34"/>
      <c r="AL583" s="34"/>
      <c r="AM583" s="34"/>
    </row>
    <row r="584" spans="33:39" s="26" customFormat="1" ht="12.75">
      <c r="AG584" s="34"/>
      <c r="AH584" s="34"/>
      <c r="AI584" s="34"/>
      <c r="AJ584" s="34"/>
      <c r="AK584" s="34"/>
      <c r="AL584" s="34"/>
      <c r="AM584" s="34"/>
    </row>
    <row r="585" spans="33:39" s="26" customFormat="1" ht="12.75">
      <c r="AG585" s="34"/>
      <c r="AH585" s="34"/>
      <c r="AI585" s="34"/>
      <c r="AJ585" s="34"/>
      <c r="AK585" s="34"/>
      <c r="AL585" s="34"/>
      <c r="AM585" s="34"/>
    </row>
    <row r="586" spans="33:39" s="26" customFormat="1" ht="12.75">
      <c r="AG586" s="34"/>
      <c r="AH586" s="34"/>
      <c r="AI586" s="34"/>
      <c r="AJ586" s="34"/>
      <c r="AK586" s="34"/>
      <c r="AL586" s="34"/>
      <c r="AM586" s="34"/>
    </row>
    <row r="587" spans="33:39" s="26" customFormat="1" ht="12.75">
      <c r="AG587" s="34"/>
      <c r="AH587" s="34"/>
      <c r="AI587" s="34"/>
      <c r="AJ587" s="34"/>
      <c r="AK587" s="34"/>
      <c r="AL587" s="34"/>
      <c r="AM587" s="34"/>
    </row>
    <row r="588" spans="33:39" s="26" customFormat="1" ht="12.75">
      <c r="AG588" s="34"/>
      <c r="AH588" s="34"/>
      <c r="AI588" s="34"/>
      <c r="AJ588" s="34"/>
      <c r="AK588" s="34"/>
      <c r="AL588" s="34"/>
      <c r="AM588" s="34"/>
    </row>
    <row r="589" spans="33:39" s="26" customFormat="1" ht="12.75">
      <c r="AG589" s="34"/>
      <c r="AH589" s="34"/>
      <c r="AI589" s="34"/>
      <c r="AJ589" s="34"/>
      <c r="AK589" s="34"/>
      <c r="AL589" s="34"/>
      <c r="AM589" s="34"/>
    </row>
    <row r="590" spans="33:39" s="26" customFormat="1" ht="12.75">
      <c r="AG590" s="34"/>
      <c r="AH590" s="34"/>
      <c r="AI590" s="34"/>
      <c r="AJ590" s="34"/>
      <c r="AK590" s="34"/>
      <c r="AL590" s="34"/>
      <c r="AM590" s="34"/>
    </row>
    <row r="591" spans="33:39" s="26" customFormat="1" ht="12.75">
      <c r="AG591" s="34"/>
      <c r="AH591" s="34"/>
      <c r="AI591" s="34"/>
      <c r="AJ591" s="34"/>
      <c r="AK591" s="34"/>
      <c r="AL591" s="34"/>
      <c r="AM591" s="34"/>
    </row>
    <row r="592" spans="33:39" s="26" customFormat="1" ht="12.75">
      <c r="AG592" s="34"/>
      <c r="AH592" s="34"/>
      <c r="AI592" s="34"/>
      <c r="AJ592" s="34"/>
      <c r="AK592" s="34"/>
      <c r="AL592" s="34"/>
      <c r="AM592" s="34"/>
    </row>
    <row r="593" spans="33:39" s="26" customFormat="1" ht="12.75">
      <c r="AG593" s="34"/>
      <c r="AH593" s="34"/>
      <c r="AI593" s="34"/>
      <c r="AJ593" s="34"/>
      <c r="AK593" s="34"/>
      <c r="AL593" s="34"/>
      <c r="AM593" s="34"/>
    </row>
    <row r="594" spans="33:39" s="26" customFormat="1" ht="12.75">
      <c r="AG594" s="34"/>
      <c r="AH594" s="34"/>
      <c r="AI594" s="34"/>
      <c r="AJ594" s="34"/>
      <c r="AK594" s="34"/>
      <c r="AL594" s="34"/>
      <c r="AM594" s="34"/>
    </row>
    <row r="595" spans="33:39" s="26" customFormat="1" ht="12.75">
      <c r="AG595" s="34"/>
      <c r="AH595" s="34"/>
      <c r="AI595" s="34"/>
      <c r="AJ595" s="34"/>
      <c r="AK595" s="34"/>
      <c r="AL595" s="34"/>
      <c r="AM595" s="34"/>
    </row>
    <row r="596" spans="33:39" s="26" customFormat="1" ht="12.75">
      <c r="AG596" s="34"/>
      <c r="AH596" s="34"/>
      <c r="AI596" s="34"/>
      <c r="AJ596" s="34"/>
      <c r="AK596" s="34"/>
      <c r="AL596" s="34"/>
      <c r="AM596" s="34"/>
    </row>
    <row r="597" spans="33:39" s="26" customFormat="1" ht="12.75">
      <c r="AG597" s="34"/>
      <c r="AH597" s="34"/>
      <c r="AI597" s="34"/>
      <c r="AJ597" s="34"/>
      <c r="AK597" s="34"/>
      <c r="AL597" s="34"/>
      <c r="AM597" s="34"/>
    </row>
    <row r="598" spans="33:39" s="26" customFormat="1" ht="12.75">
      <c r="AG598" s="34"/>
      <c r="AH598" s="34"/>
      <c r="AI598" s="34"/>
      <c r="AJ598" s="34"/>
      <c r="AK598" s="34"/>
      <c r="AL598" s="34"/>
      <c r="AM598" s="34"/>
    </row>
    <row r="599" spans="33:39" s="26" customFormat="1" ht="12.75">
      <c r="AG599" s="34"/>
      <c r="AH599" s="34"/>
      <c r="AI599" s="34"/>
      <c r="AJ599" s="34"/>
      <c r="AK599" s="34"/>
      <c r="AL599" s="34"/>
      <c r="AM599" s="34"/>
    </row>
    <row r="600" spans="33:39" s="26" customFormat="1" ht="12.75">
      <c r="AG600" s="34"/>
      <c r="AH600" s="34"/>
      <c r="AI600" s="34"/>
      <c r="AJ600" s="34"/>
      <c r="AK600" s="34"/>
      <c r="AL600" s="34"/>
      <c r="AM600" s="34"/>
    </row>
    <row r="601" spans="33:39" s="26" customFormat="1" ht="12.75">
      <c r="AG601" s="34"/>
      <c r="AH601" s="34"/>
      <c r="AI601" s="34"/>
      <c r="AJ601" s="34"/>
      <c r="AK601" s="34"/>
      <c r="AL601" s="34"/>
      <c r="AM601" s="34"/>
    </row>
    <row r="602" spans="33:39" s="26" customFormat="1" ht="12.75">
      <c r="AG602" s="34"/>
      <c r="AH602" s="34"/>
      <c r="AI602" s="34"/>
      <c r="AJ602" s="34"/>
      <c r="AK602" s="34"/>
      <c r="AL602" s="34"/>
      <c r="AM602" s="34"/>
    </row>
    <row r="603" spans="33:39" s="26" customFormat="1" ht="12.75">
      <c r="AG603" s="34"/>
      <c r="AH603" s="34"/>
      <c r="AI603" s="34"/>
      <c r="AJ603" s="34"/>
      <c r="AK603" s="34"/>
      <c r="AL603" s="34"/>
      <c r="AM603" s="34"/>
    </row>
    <row r="604" spans="33:39" s="26" customFormat="1" ht="12.75">
      <c r="AG604" s="34"/>
      <c r="AH604" s="34"/>
      <c r="AI604" s="34"/>
      <c r="AJ604" s="34"/>
      <c r="AK604" s="34"/>
      <c r="AL604" s="34"/>
      <c r="AM604" s="34"/>
    </row>
    <row r="605" spans="33:39" s="26" customFormat="1" ht="12.75">
      <c r="AG605" s="34"/>
      <c r="AH605" s="34"/>
      <c r="AI605" s="34"/>
      <c r="AJ605" s="34"/>
      <c r="AK605" s="34"/>
      <c r="AL605" s="34"/>
      <c r="AM605" s="34"/>
    </row>
    <row r="606" spans="33:39" s="26" customFormat="1" ht="12.75">
      <c r="AG606" s="34"/>
      <c r="AH606" s="34"/>
      <c r="AI606" s="34"/>
      <c r="AJ606" s="34"/>
      <c r="AK606" s="34"/>
      <c r="AL606" s="34"/>
      <c r="AM606" s="34"/>
    </row>
  </sheetData>
  <sheetProtection/>
  <printOptions/>
  <pageMargins left="1" right="1" top="0.5" bottom="0.5" header="0" footer="0.25"/>
  <pageSetup firstPageNumber="36" useFirstPageNumber="1" fitToHeight="2" fitToWidth="2" horizontalDpi="600" verticalDpi="600" orientation="portrait" pageOrder="overThenDown" scale="84" r:id="rId1"/>
  <headerFooter alignWithMargins="0">
    <oddFooter>&amp;C&amp;"Times New Roman,Regular"&amp;11&amp;P</oddFooter>
  </headerFooter>
  <rowBreaks count="1" manualBreakCount="1">
    <brk id="84" max="28" man="1"/>
  </rowBreaks>
  <colBreaks count="1" manualBreakCount="1">
    <brk id="14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J. Callahan</cp:lastModifiedBy>
  <cp:lastPrinted>2009-03-02T16:40:44Z</cp:lastPrinted>
  <dcterms:created xsi:type="dcterms:W3CDTF">2002-06-04T12:17:39Z</dcterms:created>
  <dcterms:modified xsi:type="dcterms:W3CDTF">2009-03-02T16:50:28Z</dcterms:modified>
  <cp:category/>
  <cp:version/>
  <cp:contentType/>
  <cp:contentStatus/>
</cp:coreProperties>
</file>